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irlene\Desktop\CAMERA MUNICIPAL PATO BRANCO\PROJETO BASICO CIVIL R01\"/>
    </mc:Choice>
  </mc:AlternateContent>
  <xr:revisionPtr revIDLastSave="0" documentId="13_ncr:1_{E9CBE2BA-870A-4179-97D8-C8BA323F32E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3; MEMORIAL DE CALCULO" sheetId="10" r:id="rId1"/>
    <sheet name="5. ORÇAMENTO SINAPE" sheetId="11" r:id="rId2"/>
    <sheet name="6. FisicoFinanceiro R01" sheetId="9" r:id="rId3"/>
    <sheet name="OBSOLETO" sheetId="6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5" i="11" l="1"/>
  <c r="E46" i="11"/>
  <c r="H46" i="11"/>
  <c r="I46" i="11" s="1"/>
  <c r="D75" i="10"/>
  <c r="D74" i="10"/>
  <c r="D71" i="10"/>
  <c r="D70" i="10"/>
  <c r="D67" i="10"/>
  <c r="D66" i="10"/>
  <c r="D68" i="9"/>
  <c r="D67" i="9"/>
  <c r="C66" i="11"/>
  <c r="E66" i="11"/>
  <c r="H66" i="11" s="1"/>
  <c r="E67" i="9" s="1"/>
  <c r="C67" i="11"/>
  <c r="E75" i="11"/>
  <c r="E71" i="11"/>
  <c r="E67" i="11" s="1"/>
  <c r="H67" i="11" s="1"/>
  <c r="E68" i="9" s="1"/>
  <c r="E58" i="11"/>
  <c r="A74" i="11"/>
  <c r="B74" i="11"/>
  <c r="A74" i="10" s="1"/>
  <c r="C74" i="11"/>
  <c r="A75" i="11"/>
  <c r="B75" i="11"/>
  <c r="A75" i="10" s="1"/>
  <c r="C75" i="11"/>
  <c r="A70" i="11"/>
  <c r="A66" i="11" s="1"/>
  <c r="B70" i="11"/>
  <c r="A70" i="10" s="1"/>
  <c r="A71" i="11"/>
  <c r="A67" i="11" s="1"/>
  <c r="B71" i="11"/>
  <c r="A71" i="10" s="1"/>
  <c r="D76" i="9"/>
  <c r="G76" i="9" s="1"/>
  <c r="D75" i="9"/>
  <c r="G75" i="9" s="1"/>
  <c r="BL75" i="9" s="1"/>
  <c r="E62" i="11"/>
  <c r="H62" i="11" s="1"/>
  <c r="I62" i="11" s="1"/>
  <c r="H88" i="11"/>
  <c r="I88" i="11" s="1"/>
  <c r="H92" i="11"/>
  <c r="E93" i="9" s="1"/>
  <c r="H93" i="11"/>
  <c r="E94" i="9" s="1"/>
  <c r="G94" i="9" s="1"/>
  <c r="AX94" i="9" s="1"/>
  <c r="H94" i="11"/>
  <c r="E95" i="9" s="1"/>
  <c r="H89" i="11"/>
  <c r="E90" i="9" s="1"/>
  <c r="H87" i="11"/>
  <c r="E88" i="9" s="1"/>
  <c r="H80" i="11"/>
  <c r="I80" i="11" s="1"/>
  <c r="H81" i="11"/>
  <c r="I81" i="11" s="1"/>
  <c r="H82" i="11"/>
  <c r="I82" i="11" s="1"/>
  <c r="H75" i="11"/>
  <c r="E77" i="11"/>
  <c r="H77" i="11" s="1"/>
  <c r="I77" i="11" s="1"/>
  <c r="E76" i="11"/>
  <c r="H76" i="11" s="1"/>
  <c r="H74" i="11"/>
  <c r="E73" i="11"/>
  <c r="H73" i="11" s="1"/>
  <c r="E74" i="9" s="1"/>
  <c r="G74" i="9" s="1"/>
  <c r="BZ74" i="9" s="1"/>
  <c r="H70" i="11"/>
  <c r="E71" i="9" s="1"/>
  <c r="H65" i="11"/>
  <c r="E66" i="9" s="1"/>
  <c r="H58" i="11"/>
  <c r="E59" i="9" s="1"/>
  <c r="H59" i="11"/>
  <c r="E60" i="9" s="1"/>
  <c r="H60" i="11"/>
  <c r="E61" i="9" s="1"/>
  <c r="H61" i="11"/>
  <c r="E62" i="9" s="1"/>
  <c r="G62" i="9" s="1"/>
  <c r="CG62" i="9" s="1"/>
  <c r="H55" i="11"/>
  <c r="E56" i="9" s="1"/>
  <c r="H79" i="11"/>
  <c r="E80" i="9" s="1"/>
  <c r="G80" i="9" s="1"/>
  <c r="AQ80" i="9" s="1"/>
  <c r="H69" i="11"/>
  <c r="E70" i="9" s="1"/>
  <c r="G70" i="9" s="1"/>
  <c r="H64" i="11"/>
  <c r="E65" i="9" s="1"/>
  <c r="G65" i="9" s="1"/>
  <c r="H57" i="11"/>
  <c r="E58" i="9" s="1"/>
  <c r="H54" i="11"/>
  <c r="E55" i="9" s="1"/>
  <c r="H49" i="11"/>
  <c r="E50" i="9" s="1"/>
  <c r="G50" i="9" s="1"/>
  <c r="CG50" i="9" s="1"/>
  <c r="H50" i="11"/>
  <c r="E51" i="9" s="1"/>
  <c r="G51" i="9" s="1"/>
  <c r="CG51" i="9" s="1"/>
  <c r="H51" i="11"/>
  <c r="E52" i="9" s="1"/>
  <c r="G52" i="9" s="1"/>
  <c r="CG52" i="9" s="1"/>
  <c r="H52" i="11"/>
  <c r="E53" i="9" s="1"/>
  <c r="G53" i="9" s="1"/>
  <c r="CG53" i="9" s="1"/>
  <c r="H48" i="11"/>
  <c r="I48" i="11" s="1"/>
  <c r="H45" i="11"/>
  <c r="E46" i="9" s="1"/>
  <c r="H37" i="11"/>
  <c r="I37" i="11" s="1"/>
  <c r="H38" i="11"/>
  <c r="I38" i="11" s="1"/>
  <c r="H39" i="11"/>
  <c r="I39" i="11" s="1"/>
  <c r="H40" i="11"/>
  <c r="I40" i="11" s="1"/>
  <c r="E44" i="11"/>
  <c r="H44" i="11" s="1"/>
  <c r="I44" i="11" s="1"/>
  <c r="E43" i="11"/>
  <c r="H43" i="11" s="1"/>
  <c r="I43" i="11" s="1"/>
  <c r="E42" i="11"/>
  <c r="H42" i="11" s="1"/>
  <c r="E35" i="11"/>
  <c r="H35" i="11" s="1"/>
  <c r="E34" i="11"/>
  <c r="H34" i="11" s="1"/>
  <c r="H31" i="11"/>
  <c r="E32" i="9" s="1"/>
  <c r="H29" i="11"/>
  <c r="E30" i="9" s="1"/>
  <c r="G30" i="9" s="1"/>
  <c r="H27" i="11"/>
  <c r="E28" i="9" s="1"/>
  <c r="G28" i="9" s="1"/>
  <c r="CG28" i="9" s="1"/>
  <c r="H23" i="11"/>
  <c r="E24" i="9" s="1"/>
  <c r="H22" i="11"/>
  <c r="I22" i="11" s="1"/>
  <c r="H19" i="11"/>
  <c r="E20" i="9" s="1"/>
  <c r="H18" i="11"/>
  <c r="E19" i="9" s="1"/>
  <c r="H16" i="11"/>
  <c r="E17" i="9" s="1"/>
  <c r="H15" i="11"/>
  <c r="E16" i="9" s="1"/>
  <c r="H13" i="11"/>
  <c r="I13" i="11" s="1"/>
  <c r="H12" i="11"/>
  <c r="E13" i="9" s="1"/>
  <c r="G13" i="9" s="1"/>
  <c r="AX13" i="9" s="1"/>
  <c r="H9" i="11"/>
  <c r="I9" i="11" s="1"/>
  <c r="H10" i="11"/>
  <c r="E11" i="9" s="1"/>
  <c r="G11" i="9" s="1"/>
  <c r="AX11" i="9" s="1"/>
  <c r="H7" i="11"/>
  <c r="E8" i="9" s="1"/>
  <c r="D72" i="9"/>
  <c r="D71" i="9"/>
  <c r="E84" i="11"/>
  <c r="H84" i="11" s="1"/>
  <c r="I84" i="11" s="1"/>
  <c r="D95" i="9"/>
  <c r="D93" i="9"/>
  <c r="D94" i="11"/>
  <c r="I94" i="11" s="1"/>
  <c r="D92" i="11"/>
  <c r="D92" i="10"/>
  <c r="D94" i="10"/>
  <c r="D90" i="9"/>
  <c r="D89" i="11"/>
  <c r="D89" i="10"/>
  <c r="E85" i="11"/>
  <c r="H85" i="11" s="1"/>
  <c r="D85" i="10"/>
  <c r="D71" i="11"/>
  <c r="D67" i="11" s="1"/>
  <c r="D70" i="11"/>
  <c r="I70" i="11" s="1"/>
  <c r="D65" i="10"/>
  <c r="D60" i="9"/>
  <c r="D59" i="9"/>
  <c r="D58" i="9"/>
  <c r="D59" i="11"/>
  <c r="D58" i="11"/>
  <c r="D57" i="11"/>
  <c r="D59" i="10"/>
  <c r="D58" i="10"/>
  <c r="D57" i="10"/>
  <c r="D33" i="9"/>
  <c r="D32" i="9"/>
  <c r="D24" i="9"/>
  <c r="D25" i="9"/>
  <c r="D32" i="11"/>
  <c r="D31" i="11"/>
  <c r="I31" i="11" s="1"/>
  <c r="D32" i="10"/>
  <c r="D31" i="10"/>
  <c r="E91" i="11"/>
  <c r="H91" i="11" s="1"/>
  <c r="H71" i="11"/>
  <c r="E72" i="9" s="1"/>
  <c r="D65" i="11"/>
  <c r="D55" i="11"/>
  <c r="I55" i="11" s="1"/>
  <c r="D54" i="11"/>
  <c r="D45" i="11"/>
  <c r="E36" i="11"/>
  <c r="H36" i="11" s="1"/>
  <c r="E32" i="11"/>
  <c r="H32" i="11" s="1"/>
  <c r="E33" i="9" s="1"/>
  <c r="E24" i="11"/>
  <c r="H24" i="11" s="1"/>
  <c r="D24" i="11"/>
  <c r="D23" i="11"/>
  <c r="D19" i="11"/>
  <c r="D18" i="11"/>
  <c r="D16" i="11"/>
  <c r="D15" i="11"/>
  <c r="E8" i="11"/>
  <c r="H8" i="11" s="1"/>
  <c r="D7" i="11"/>
  <c r="D55" i="10"/>
  <c r="D54" i="10"/>
  <c r="D45" i="10"/>
  <c r="D24" i="10"/>
  <c r="D23" i="10"/>
  <c r="D19" i="10"/>
  <c r="D18" i="10"/>
  <c r="D16" i="10"/>
  <c r="D15" i="10"/>
  <c r="D7" i="10"/>
  <c r="D20" i="9"/>
  <c r="D19" i="9"/>
  <c r="D8" i="9"/>
  <c r="H96" i="9"/>
  <c r="D66" i="9"/>
  <c r="D56" i="9"/>
  <c r="D55" i="9"/>
  <c r="D46" i="9"/>
  <c r="D17" i="9"/>
  <c r="D16" i="9"/>
  <c r="F39" i="6"/>
  <c r="F37" i="6"/>
  <c r="D37" i="6"/>
  <c r="D38" i="6"/>
  <c r="F38" i="6"/>
  <c r="F34" i="6"/>
  <c r="F48" i="6"/>
  <c r="F49" i="6"/>
  <c r="F50" i="6"/>
  <c r="F51" i="6"/>
  <c r="F52" i="6"/>
  <c r="F53" i="6"/>
  <c r="F47" i="6"/>
  <c r="F65" i="6"/>
  <c r="H62" i="6"/>
  <c r="F56" i="6"/>
  <c r="F27" i="6"/>
  <c r="F21" i="6"/>
  <c r="F20" i="6"/>
  <c r="F6" i="6"/>
  <c r="F7" i="6"/>
  <c r="F9" i="6"/>
  <c r="F10" i="6"/>
  <c r="F12" i="6"/>
  <c r="F13" i="6"/>
  <c r="I65" i="6"/>
  <c r="H66" i="6"/>
  <c r="I66" i="6" s="1"/>
  <c r="H65" i="6"/>
  <c r="G66" i="6"/>
  <c r="G65" i="6"/>
  <c r="I58" i="6"/>
  <c r="I59" i="6"/>
  <c r="I56" i="6"/>
  <c r="H59" i="6"/>
  <c r="H58" i="6"/>
  <c r="H57" i="6"/>
  <c r="H56" i="6"/>
  <c r="G58" i="6"/>
  <c r="G57" i="6"/>
  <c r="I57" i="6" s="1"/>
  <c r="G56" i="6"/>
  <c r="I62" i="6"/>
  <c r="G62" i="6"/>
  <c r="I21" i="6"/>
  <c r="I20" i="6"/>
  <c r="H20" i="6"/>
  <c r="G20" i="6"/>
  <c r="H10" i="6"/>
  <c r="I10" i="6" s="1"/>
  <c r="H12" i="6"/>
  <c r="G12" i="6"/>
  <c r="H9" i="6"/>
  <c r="I9" i="6" s="1"/>
  <c r="G9" i="6"/>
  <c r="H7" i="6"/>
  <c r="G7" i="6"/>
  <c r="H6" i="6"/>
  <c r="G6" i="6"/>
  <c r="I13" i="6"/>
  <c r="H17" i="6"/>
  <c r="G17" i="6"/>
  <c r="I41" i="6"/>
  <c r="I42" i="6"/>
  <c r="H43" i="6"/>
  <c r="Q21" i="6"/>
  <c r="Q20" i="6"/>
  <c r="Q28" i="6"/>
  <c r="Q29" i="6"/>
  <c r="Q27" i="6"/>
  <c r="Q35" i="6"/>
  <c r="Q36" i="6"/>
  <c r="Q37" i="6"/>
  <c r="Q34" i="6"/>
  <c r="Q57" i="6"/>
  <c r="Q58" i="6"/>
  <c r="Q59" i="6"/>
  <c r="Q56" i="6"/>
  <c r="Q62" i="6"/>
  <c r="Q63" i="6" s="1"/>
  <c r="Q66" i="6"/>
  <c r="Q65" i="6"/>
  <c r="Q42" i="6"/>
  <c r="Q41" i="6"/>
  <c r="Q48" i="6"/>
  <c r="Q49" i="6"/>
  <c r="Q50" i="6"/>
  <c r="Q51" i="6"/>
  <c r="Q52" i="6"/>
  <c r="Q53" i="6"/>
  <c r="Q47" i="6"/>
  <c r="Q17" i="6"/>
  <c r="M6" i="6"/>
  <c r="M7" i="6"/>
  <c r="M9" i="6"/>
  <c r="M10" i="6"/>
  <c r="M12" i="6"/>
  <c r="M13" i="6"/>
  <c r="O6" i="6"/>
  <c r="O7" i="6"/>
  <c r="O9" i="6"/>
  <c r="O10" i="6"/>
  <c r="O12" i="6"/>
  <c r="O13" i="6"/>
  <c r="Q6" i="6"/>
  <c r="Q7" i="6"/>
  <c r="Q9" i="6"/>
  <c r="Q10" i="6"/>
  <c r="Q12" i="6"/>
  <c r="Q13" i="6"/>
  <c r="I23" i="11" l="1"/>
  <c r="I87" i="11"/>
  <c r="G68" i="9"/>
  <c r="BZ68" i="9" s="1"/>
  <c r="G67" i="9"/>
  <c r="BZ67" i="9" s="1"/>
  <c r="D66" i="11"/>
  <c r="I66" i="11" s="1"/>
  <c r="D75" i="11"/>
  <c r="I75" i="11" s="1"/>
  <c r="I67" i="11"/>
  <c r="D74" i="11"/>
  <c r="I74" i="11" s="1"/>
  <c r="G55" i="9"/>
  <c r="BE55" i="9" s="1"/>
  <c r="I89" i="11"/>
  <c r="I15" i="11"/>
  <c r="I49" i="11"/>
  <c r="I45" i="11"/>
  <c r="I92" i="11"/>
  <c r="I18" i="11"/>
  <c r="I16" i="11"/>
  <c r="I54" i="11"/>
  <c r="I59" i="11"/>
  <c r="I19" i="11"/>
  <c r="I65" i="11"/>
  <c r="I71" i="11"/>
  <c r="BL76" i="9"/>
  <c r="G95" i="9"/>
  <c r="AJ95" i="9" s="1"/>
  <c r="G19" i="9"/>
  <c r="BE19" i="9" s="1"/>
  <c r="G58" i="9"/>
  <c r="CG58" i="9" s="1"/>
  <c r="G71" i="9"/>
  <c r="BL71" i="9" s="1"/>
  <c r="G46" i="9"/>
  <c r="AX46" i="9" s="1"/>
  <c r="I58" i="11"/>
  <c r="I7" i="11"/>
  <c r="E49" i="9"/>
  <c r="I10" i="11"/>
  <c r="I27" i="11"/>
  <c r="I29" i="11"/>
  <c r="I64" i="11"/>
  <c r="E10" i="9"/>
  <c r="G10" i="9" s="1"/>
  <c r="AX10" i="9" s="1"/>
  <c r="I32" i="11"/>
  <c r="I57" i="11"/>
  <c r="I69" i="11"/>
  <c r="G72" i="9"/>
  <c r="BL72" i="9" s="1"/>
  <c r="G66" i="9"/>
  <c r="BS66" i="9" s="1"/>
  <c r="G32" i="9"/>
  <c r="BZ32" i="9" s="1"/>
  <c r="I36" i="11"/>
  <c r="E37" i="9"/>
  <c r="G37" i="9" s="1"/>
  <c r="BS37" i="9" s="1"/>
  <c r="BZ30" i="9"/>
  <c r="CG30" i="9"/>
  <c r="E77" i="9"/>
  <c r="G77" i="9" s="1"/>
  <c r="BL77" i="9" s="1"/>
  <c r="I76" i="11"/>
  <c r="E89" i="9"/>
  <c r="G89" i="9" s="1"/>
  <c r="G61" i="9"/>
  <c r="BZ61" i="9" s="1"/>
  <c r="E36" i="9"/>
  <c r="I35" i="11"/>
  <c r="E86" i="9"/>
  <c r="G86" i="9" s="1"/>
  <c r="BE86" i="9" s="1"/>
  <c r="I85" i="11"/>
  <c r="E43" i="9"/>
  <c r="G43" i="9" s="1"/>
  <c r="BL43" i="9" s="1"/>
  <c r="I42" i="11"/>
  <c r="E35" i="9"/>
  <c r="G35" i="9" s="1"/>
  <c r="BS35" i="9" s="1"/>
  <c r="I34" i="11"/>
  <c r="E25" i="9"/>
  <c r="G25" i="9" s="1"/>
  <c r="AJ25" i="9" s="1"/>
  <c r="I24" i="11"/>
  <c r="BZ65" i="9"/>
  <c r="CG65" i="9"/>
  <c r="I8" i="11"/>
  <c r="E9" i="9"/>
  <c r="G9" i="9" s="1"/>
  <c r="V9" i="9" s="1"/>
  <c r="E92" i="9"/>
  <c r="G92" i="9" s="1"/>
  <c r="AQ92" i="9" s="1"/>
  <c r="I91" i="11"/>
  <c r="G33" i="9"/>
  <c r="BZ33" i="9" s="1"/>
  <c r="G59" i="9"/>
  <c r="CG59" i="9" s="1"/>
  <c r="I73" i="11"/>
  <c r="I61" i="11"/>
  <c r="I93" i="11"/>
  <c r="E41" i="9"/>
  <c r="G41" i="9" s="1"/>
  <c r="BZ41" i="9" s="1"/>
  <c r="E45" i="9"/>
  <c r="G45" i="9" s="1"/>
  <c r="BS45" i="9" s="1"/>
  <c r="E85" i="9"/>
  <c r="G85" i="9" s="1"/>
  <c r="CG85" i="9" s="1"/>
  <c r="G16" i="9"/>
  <c r="AQ16" i="9" s="1"/>
  <c r="G60" i="9"/>
  <c r="BS60" i="9" s="1"/>
  <c r="I79" i="11"/>
  <c r="I60" i="11"/>
  <c r="E40" i="9"/>
  <c r="G40" i="9" s="1"/>
  <c r="AX40" i="9" s="1"/>
  <c r="E44" i="9"/>
  <c r="G44" i="9" s="1"/>
  <c r="BE44" i="9" s="1"/>
  <c r="E83" i="9"/>
  <c r="G83" i="9" s="1"/>
  <c r="AJ83" i="9" s="1"/>
  <c r="G24" i="9"/>
  <c r="AJ24" i="9" s="1"/>
  <c r="G17" i="9"/>
  <c r="AQ17" i="9" s="1"/>
  <c r="G93" i="9"/>
  <c r="AJ93" i="9" s="1"/>
  <c r="I12" i="11"/>
  <c r="E14" i="9"/>
  <c r="G14" i="9" s="1"/>
  <c r="AX14" i="9" s="1"/>
  <c r="E39" i="9"/>
  <c r="G39" i="9" s="1"/>
  <c r="AX39" i="9" s="1"/>
  <c r="E82" i="9"/>
  <c r="G82" i="9" s="1"/>
  <c r="AQ82" i="9" s="1"/>
  <c r="G20" i="9"/>
  <c r="BE20" i="9" s="1"/>
  <c r="I52" i="11"/>
  <c r="E23" i="9"/>
  <c r="G23" i="9" s="1"/>
  <c r="AC23" i="9" s="1"/>
  <c r="E38" i="9"/>
  <c r="G38" i="9" s="1"/>
  <c r="BZ38" i="9" s="1"/>
  <c r="E81" i="9"/>
  <c r="G81" i="9" s="1"/>
  <c r="AJ81" i="9" s="1"/>
  <c r="G56" i="9"/>
  <c r="BE56" i="9" s="1"/>
  <c r="G88" i="9"/>
  <c r="I51" i="11"/>
  <c r="E78" i="9"/>
  <c r="G78" i="9" s="1"/>
  <c r="BE78" i="9" s="1"/>
  <c r="G90" i="9"/>
  <c r="BZ90" i="9" s="1"/>
  <c r="I50" i="11"/>
  <c r="G8" i="9"/>
  <c r="BZ51" i="9"/>
  <c r="AQ94" i="9"/>
  <c r="BZ70" i="9"/>
  <c r="BS70" i="9"/>
  <c r="BZ52" i="9"/>
  <c r="BZ28" i="9"/>
  <c r="BZ50" i="9"/>
  <c r="BZ53" i="9"/>
  <c r="AJ80" i="9"/>
  <c r="I12" i="6"/>
  <c r="I7" i="6"/>
  <c r="I6" i="6"/>
  <c r="Q60" i="6"/>
  <c r="Q39" i="6"/>
  <c r="Q54" i="6"/>
  <c r="AC9" i="9" l="1"/>
  <c r="G49" i="9"/>
  <c r="BZ49" i="9" s="1"/>
  <c r="E47" i="9"/>
  <c r="G47" i="9" s="1"/>
  <c r="O8" i="9"/>
  <c r="O96" i="9" s="1"/>
  <c r="BS55" i="9"/>
  <c r="BL55" i="9"/>
  <c r="BS88" i="9"/>
  <c r="BL37" i="9"/>
  <c r="BE37" i="9"/>
  <c r="BS56" i="9"/>
  <c r="BL56" i="9"/>
  <c r="BZ85" i="9"/>
  <c r="BL35" i="9"/>
  <c r="BE35" i="9"/>
  <c r="AJ82" i="9"/>
  <c r="G36" i="9"/>
  <c r="E63" i="9"/>
  <c r="G63" i="9" s="1"/>
  <c r="BS63" i="9" s="1"/>
  <c r="BS90" i="9"/>
  <c r="BL45" i="9"/>
  <c r="BS89" i="9"/>
  <c r="BZ89" i="9"/>
  <c r="AQ83" i="9"/>
  <c r="AQ81" i="9"/>
  <c r="AJ92" i="9"/>
  <c r="AC92" i="9"/>
  <c r="BZ88" i="9"/>
  <c r="AC93" i="9"/>
  <c r="BS43" i="9"/>
  <c r="V8" i="9"/>
  <c r="V96" i="9" s="1"/>
  <c r="AC48" i="6"/>
  <c r="AC49" i="6"/>
  <c r="AC50" i="6"/>
  <c r="AC51" i="6"/>
  <c r="AC52" i="6"/>
  <c r="AC53" i="6"/>
  <c r="AC47" i="6"/>
  <c r="F58" i="6"/>
  <c r="F28" i="6"/>
  <c r="F29" i="6"/>
  <c r="S27" i="6"/>
  <c r="S29" i="6"/>
  <c r="K65" i="6"/>
  <c r="AE56" i="6"/>
  <c r="AE58" i="6"/>
  <c r="AD56" i="6"/>
  <c r="AE68" i="6"/>
  <c r="AE67" i="6"/>
  <c r="AE66" i="6"/>
  <c r="AE65" i="6"/>
  <c r="AE63" i="6"/>
  <c r="AE62" i="6"/>
  <c r="AE59" i="6"/>
  <c r="AE57" i="6"/>
  <c r="AE54" i="6"/>
  <c r="AE53" i="6"/>
  <c r="AE52" i="6"/>
  <c r="AE51" i="6"/>
  <c r="AE50" i="6"/>
  <c r="AE49" i="6"/>
  <c r="AE48" i="6"/>
  <c r="AE47" i="6"/>
  <c r="AE45" i="6"/>
  <c r="AE44" i="6"/>
  <c r="AE43" i="6"/>
  <c r="AE42" i="6"/>
  <c r="AE41" i="6"/>
  <c r="AE39" i="6"/>
  <c r="AE37" i="6"/>
  <c r="AE36" i="6"/>
  <c r="AE35" i="6"/>
  <c r="AE34" i="6"/>
  <c r="AE32" i="6"/>
  <c r="AE31" i="6"/>
  <c r="AE30" i="6"/>
  <c r="AE29" i="6"/>
  <c r="AE28" i="6"/>
  <c r="AE27" i="6"/>
  <c r="AE25" i="6"/>
  <c r="AE24" i="6"/>
  <c r="AE23" i="6"/>
  <c r="AE22" i="6"/>
  <c r="AE21" i="6"/>
  <c r="AE20" i="6"/>
  <c r="AE18" i="6"/>
  <c r="AE17" i="6"/>
  <c r="AE16" i="6"/>
  <c r="AE14" i="6"/>
  <c r="AE13" i="6"/>
  <c r="AE12" i="6"/>
  <c r="AE11" i="6"/>
  <c r="AE10" i="6"/>
  <c r="AE9" i="6"/>
  <c r="AE8" i="6"/>
  <c r="AE7" i="6"/>
  <c r="AE6" i="6"/>
  <c r="AE5" i="6"/>
  <c r="U48" i="6"/>
  <c r="U49" i="6"/>
  <c r="U50" i="6"/>
  <c r="U51" i="6"/>
  <c r="U52" i="6"/>
  <c r="U53" i="6"/>
  <c r="U47" i="6"/>
  <c r="K20" i="6"/>
  <c r="G96" i="9" l="1"/>
  <c r="CG49" i="9"/>
  <c r="CG47" i="9"/>
  <c r="BZ47" i="9"/>
  <c r="BE36" i="9"/>
  <c r="BS36" i="9"/>
  <c r="BL36" i="9"/>
  <c r="AC96" i="9"/>
  <c r="AJ96" i="9" s="1"/>
  <c r="AQ96" i="9" s="1"/>
  <c r="AX96" i="9" s="1"/>
  <c r="BE96" i="9" s="1"/>
  <c r="BL96" i="9" s="1"/>
  <c r="U54" i="6"/>
  <c r="AE60" i="6"/>
  <c r="AC54" i="6"/>
  <c r="C5" i="6"/>
  <c r="AC68" i="6"/>
  <c r="AC67" i="6"/>
  <c r="AC66" i="6"/>
  <c r="AC65" i="6"/>
  <c r="AC63" i="6"/>
  <c r="AC62" i="6"/>
  <c r="AC60" i="6"/>
  <c r="AC59" i="6"/>
  <c r="AC58" i="6"/>
  <c r="AC57" i="6"/>
  <c r="AC56" i="6"/>
  <c r="AC45" i="6"/>
  <c r="AC44" i="6"/>
  <c r="AC43" i="6"/>
  <c r="AC42" i="6"/>
  <c r="AC41" i="6"/>
  <c r="AC39" i="6"/>
  <c r="AC37" i="6"/>
  <c r="AC36" i="6"/>
  <c r="AC35" i="6"/>
  <c r="AC34" i="6"/>
  <c r="AC32" i="6"/>
  <c r="AC31" i="6"/>
  <c r="AC30" i="6"/>
  <c r="AC29" i="6"/>
  <c r="AC28" i="6"/>
  <c r="AC27" i="6"/>
  <c r="AC25" i="6"/>
  <c r="AC24" i="6"/>
  <c r="AC23" i="6"/>
  <c r="AC22" i="6"/>
  <c r="AC21" i="6"/>
  <c r="AC20" i="6"/>
  <c r="AC18" i="6"/>
  <c r="AC17" i="6"/>
  <c r="AC16" i="6"/>
  <c r="AC14" i="6"/>
  <c r="AC13" i="6"/>
  <c r="AC12" i="6"/>
  <c r="AC11" i="6"/>
  <c r="AC10" i="6"/>
  <c r="AC9" i="6"/>
  <c r="AC8" i="6"/>
  <c r="AC7" i="6"/>
  <c r="AC6" i="6"/>
  <c r="AC5" i="6"/>
  <c r="AA68" i="6"/>
  <c r="AA67" i="6"/>
  <c r="AA66" i="6"/>
  <c r="AA65" i="6"/>
  <c r="AA63" i="6"/>
  <c r="AA62" i="6"/>
  <c r="AA60" i="6"/>
  <c r="AA59" i="6"/>
  <c r="AA58" i="6"/>
  <c r="AA57" i="6"/>
  <c r="AA56" i="6"/>
  <c r="AA54" i="6"/>
  <c r="AA53" i="6"/>
  <c r="AA52" i="6"/>
  <c r="AA51" i="6"/>
  <c r="AA50" i="6"/>
  <c r="AA49" i="6"/>
  <c r="AA48" i="6"/>
  <c r="AA47" i="6"/>
  <c r="AA45" i="6"/>
  <c r="AA44" i="6"/>
  <c r="AA43" i="6"/>
  <c r="AA42" i="6"/>
  <c r="AA41" i="6"/>
  <c r="AA39" i="6"/>
  <c r="AA37" i="6"/>
  <c r="AA36" i="6"/>
  <c r="AA35" i="6"/>
  <c r="AA34" i="6"/>
  <c r="AA32" i="6"/>
  <c r="AA31" i="6"/>
  <c r="AA30" i="6"/>
  <c r="AA29" i="6"/>
  <c r="AA28" i="6"/>
  <c r="AA27" i="6"/>
  <c r="AA25" i="6"/>
  <c r="AA24" i="6"/>
  <c r="AA23" i="6"/>
  <c r="AA22" i="6"/>
  <c r="AA21" i="6"/>
  <c r="AA20" i="6"/>
  <c r="AA18" i="6"/>
  <c r="AA17" i="6"/>
  <c r="AA16" i="6"/>
  <c r="AA14" i="6"/>
  <c r="AA13" i="6"/>
  <c r="AA12" i="6"/>
  <c r="AA11" i="6"/>
  <c r="AA10" i="6"/>
  <c r="AA9" i="6"/>
  <c r="AA8" i="6"/>
  <c r="AA7" i="6"/>
  <c r="AA6" i="6"/>
  <c r="AA5" i="6"/>
  <c r="I63" i="6"/>
  <c r="I48" i="6"/>
  <c r="I49" i="6"/>
  <c r="I50" i="6"/>
  <c r="I51" i="6"/>
  <c r="I52" i="6"/>
  <c r="I53" i="6"/>
  <c r="I47" i="6"/>
  <c r="I35" i="6"/>
  <c r="I36" i="6"/>
  <c r="I37" i="6"/>
  <c r="I34" i="6"/>
  <c r="I28" i="6"/>
  <c r="I29" i="6"/>
  <c r="I27" i="6"/>
  <c r="I17" i="6"/>
  <c r="BS96" i="9" l="1"/>
  <c r="BZ96" i="9" s="1"/>
  <c r="H5" i="6"/>
  <c r="I5" i="6" s="1"/>
  <c r="G5" i="6"/>
  <c r="F5" i="6"/>
  <c r="Q5" i="6"/>
  <c r="O5" i="6"/>
  <c r="I39" i="6"/>
  <c r="I60" i="6"/>
  <c r="I54" i="6"/>
  <c r="Y68" i="6"/>
  <c r="Y67" i="6"/>
  <c r="Y66" i="6"/>
  <c r="Y65" i="6"/>
  <c r="Y63" i="6"/>
  <c r="Y62" i="6"/>
  <c r="Y60" i="6"/>
  <c r="Y59" i="6"/>
  <c r="Y58" i="6"/>
  <c r="Y57" i="6"/>
  <c r="Y56" i="6"/>
  <c r="Y54" i="6"/>
  <c r="Y53" i="6"/>
  <c r="Y52" i="6"/>
  <c r="Y51" i="6"/>
  <c r="Y50" i="6"/>
  <c r="Y49" i="6"/>
  <c r="Y48" i="6"/>
  <c r="Y47" i="6"/>
  <c r="Y45" i="6"/>
  <c r="Y44" i="6"/>
  <c r="Y43" i="6"/>
  <c r="Y42" i="6"/>
  <c r="Y41" i="6"/>
  <c r="Y39" i="6"/>
  <c r="Y37" i="6"/>
  <c r="Y36" i="6"/>
  <c r="Y35" i="6"/>
  <c r="Y34" i="6"/>
  <c r="Y32" i="6"/>
  <c r="Y31" i="6"/>
  <c r="Y30" i="6"/>
  <c r="Y29" i="6"/>
  <c r="Y28" i="6"/>
  <c r="Y27" i="6"/>
  <c r="Y25" i="6"/>
  <c r="Y24" i="6"/>
  <c r="Y23" i="6"/>
  <c r="Y22" i="6"/>
  <c r="Y21" i="6"/>
  <c r="Y20" i="6"/>
  <c r="Y18" i="6"/>
  <c r="Y17" i="6"/>
  <c r="Y16" i="6"/>
  <c r="Y14" i="6"/>
  <c r="Y13" i="6"/>
  <c r="Y12" i="6"/>
  <c r="Y11" i="6"/>
  <c r="Y10" i="6"/>
  <c r="Y9" i="6"/>
  <c r="Y8" i="6"/>
  <c r="Y7" i="6"/>
  <c r="Y6" i="6"/>
  <c r="Y5" i="6"/>
  <c r="W68" i="6"/>
  <c r="W67" i="6"/>
  <c r="W66" i="6"/>
  <c r="W65" i="6"/>
  <c r="W63" i="6"/>
  <c r="W62" i="6"/>
  <c r="W60" i="6"/>
  <c r="W59" i="6"/>
  <c r="W58" i="6"/>
  <c r="W57" i="6"/>
  <c r="W56" i="6"/>
  <c r="W54" i="6"/>
  <c r="W53" i="6"/>
  <c r="W52" i="6"/>
  <c r="W51" i="6"/>
  <c r="W50" i="6"/>
  <c r="W49" i="6"/>
  <c r="W48" i="6"/>
  <c r="W47" i="6"/>
  <c r="W45" i="6"/>
  <c r="W44" i="6"/>
  <c r="W43" i="6"/>
  <c r="W42" i="6"/>
  <c r="W41" i="6"/>
  <c r="W39" i="6"/>
  <c r="W37" i="6"/>
  <c r="W36" i="6"/>
  <c r="W35" i="6"/>
  <c r="W34" i="6"/>
  <c r="W32" i="6"/>
  <c r="W31" i="6"/>
  <c r="W30" i="6"/>
  <c r="W29" i="6"/>
  <c r="W27" i="6"/>
  <c r="W25" i="6"/>
  <c r="W24" i="6"/>
  <c r="W23" i="6"/>
  <c r="W22" i="6"/>
  <c r="W21" i="6"/>
  <c r="W20" i="6"/>
  <c r="W18" i="6"/>
  <c r="W17" i="6"/>
  <c r="W16" i="6"/>
  <c r="W14" i="6"/>
  <c r="W13" i="6"/>
  <c r="W12" i="6"/>
  <c r="W11" i="6"/>
  <c r="W10" i="6"/>
  <c r="W9" i="6"/>
  <c r="W8" i="6"/>
  <c r="W7" i="6"/>
  <c r="W6" i="6"/>
  <c r="W5" i="6"/>
  <c r="R28" i="6"/>
  <c r="S28" i="6" s="1"/>
  <c r="C31" i="6"/>
  <c r="Q31" i="6" s="1"/>
  <c r="C30" i="6"/>
  <c r="U68" i="6"/>
  <c r="U67" i="6"/>
  <c r="U66" i="6"/>
  <c r="U65" i="6"/>
  <c r="U63" i="6"/>
  <c r="U62" i="6"/>
  <c r="U60" i="6"/>
  <c r="U59" i="6"/>
  <c r="U58" i="6"/>
  <c r="U57" i="6"/>
  <c r="U56" i="6"/>
  <c r="U45" i="6"/>
  <c r="U44" i="6"/>
  <c r="U43" i="6"/>
  <c r="U42" i="6"/>
  <c r="U41" i="6"/>
  <c r="U39" i="6"/>
  <c r="U37" i="6"/>
  <c r="U36" i="6"/>
  <c r="U35" i="6"/>
  <c r="U34" i="6"/>
  <c r="U32" i="6"/>
  <c r="U31" i="6"/>
  <c r="U30" i="6"/>
  <c r="U29" i="6"/>
  <c r="U28" i="6"/>
  <c r="U27" i="6"/>
  <c r="U25" i="6"/>
  <c r="U24" i="6"/>
  <c r="U23" i="6"/>
  <c r="U22" i="6"/>
  <c r="U21" i="6"/>
  <c r="U20" i="6"/>
  <c r="U18" i="6"/>
  <c r="U17" i="6"/>
  <c r="U16" i="6"/>
  <c r="U14" i="6"/>
  <c r="U13" i="6"/>
  <c r="U12" i="6"/>
  <c r="U11" i="6"/>
  <c r="U10" i="6"/>
  <c r="U9" i="6"/>
  <c r="U8" i="6"/>
  <c r="U7" i="6"/>
  <c r="U6" i="6"/>
  <c r="U5" i="6"/>
  <c r="S68" i="6"/>
  <c r="S67" i="6"/>
  <c r="S66" i="6"/>
  <c r="S65" i="6"/>
  <c r="S63" i="6"/>
  <c r="S62" i="6"/>
  <c r="S60" i="6"/>
  <c r="S59" i="6"/>
  <c r="S58" i="6"/>
  <c r="S57" i="6"/>
  <c r="S56" i="6"/>
  <c r="S54" i="6"/>
  <c r="S53" i="6"/>
  <c r="S52" i="6"/>
  <c r="S51" i="6"/>
  <c r="S50" i="6"/>
  <c r="S49" i="6"/>
  <c r="S48" i="6"/>
  <c r="S47" i="6"/>
  <c r="S45" i="6"/>
  <c r="S44" i="6"/>
  <c r="S43" i="6"/>
  <c r="S42" i="6"/>
  <c r="S41" i="6"/>
  <c r="S39" i="6"/>
  <c r="S37" i="6"/>
  <c r="S36" i="6"/>
  <c r="S35" i="6"/>
  <c r="S34" i="6"/>
  <c r="S25" i="6"/>
  <c r="S24" i="6"/>
  <c r="S23" i="6"/>
  <c r="S22" i="6"/>
  <c r="S21" i="6"/>
  <c r="S20" i="6"/>
  <c r="S18" i="6"/>
  <c r="S17" i="6"/>
  <c r="S16" i="6"/>
  <c r="S14" i="6"/>
  <c r="S13" i="6"/>
  <c r="S12" i="6"/>
  <c r="S11" i="6"/>
  <c r="S10" i="6"/>
  <c r="S9" i="6"/>
  <c r="S8" i="6"/>
  <c r="S7" i="6"/>
  <c r="S6" i="6"/>
  <c r="O67" i="6"/>
  <c r="O66" i="6"/>
  <c r="O65" i="6"/>
  <c r="O63" i="6"/>
  <c r="O62" i="6"/>
  <c r="O60" i="6"/>
  <c r="O59" i="6"/>
  <c r="O58" i="6"/>
  <c r="O57" i="6"/>
  <c r="O56" i="6"/>
  <c r="O54" i="6"/>
  <c r="O53" i="6"/>
  <c r="O52" i="6"/>
  <c r="O51" i="6"/>
  <c r="O50" i="6"/>
  <c r="O49" i="6"/>
  <c r="O48" i="6"/>
  <c r="O47" i="6"/>
  <c r="O44" i="6"/>
  <c r="O42" i="6"/>
  <c r="O41" i="6"/>
  <c r="O39" i="6"/>
  <c r="O37" i="6"/>
  <c r="O36" i="6"/>
  <c r="O35" i="6"/>
  <c r="O34" i="6"/>
  <c r="O32" i="6"/>
  <c r="O31" i="6"/>
  <c r="O30" i="6"/>
  <c r="O29" i="6"/>
  <c r="O28" i="6"/>
  <c r="O27" i="6"/>
  <c r="O24" i="6"/>
  <c r="O23" i="6"/>
  <c r="O22" i="6"/>
  <c r="O21" i="6"/>
  <c r="O20" i="6"/>
  <c r="O17" i="6"/>
  <c r="O16" i="6"/>
  <c r="L5" i="6"/>
  <c r="S5" i="6" s="1"/>
  <c r="M68" i="6"/>
  <c r="M67" i="6"/>
  <c r="M66" i="6"/>
  <c r="M65" i="6"/>
  <c r="M63" i="6"/>
  <c r="M62" i="6"/>
  <c r="M60" i="6"/>
  <c r="M59" i="6"/>
  <c r="M58" i="6"/>
  <c r="M57" i="6"/>
  <c r="M56" i="6"/>
  <c r="M54" i="6"/>
  <c r="M53" i="6"/>
  <c r="M52" i="6"/>
  <c r="M51" i="6"/>
  <c r="M50" i="6"/>
  <c r="M49" i="6"/>
  <c r="M48" i="6"/>
  <c r="M47" i="6"/>
  <c r="M45" i="6"/>
  <c r="M44" i="6"/>
  <c r="M43" i="6"/>
  <c r="M42" i="6"/>
  <c r="M41" i="6"/>
  <c r="M39" i="6"/>
  <c r="M37" i="6"/>
  <c r="M36" i="6"/>
  <c r="M35" i="6"/>
  <c r="M34" i="6"/>
  <c r="M32" i="6"/>
  <c r="M31" i="6"/>
  <c r="M30" i="6"/>
  <c r="M29" i="6"/>
  <c r="M28" i="6"/>
  <c r="M27" i="6"/>
  <c r="M24" i="6"/>
  <c r="M23" i="6"/>
  <c r="M22" i="6"/>
  <c r="M21" i="6"/>
  <c r="M20" i="6"/>
  <c r="M17" i="6"/>
  <c r="M16" i="6"/>
  <c r="K17" i="6"/>
  <c r="K21" i="6"/>
  <c r="K27" i="6"/>
  <c r="K28" i="6"/>
  <c r="K29" i="6"/>
  <c r="K32" i="6"/>
  <c r="K34" i="6"/>
  <c r="K35" i="6"/>
  <c r="K36" i="6"/>
  <c r="K37" i="6"/>
  <c r="K39" i="6"/>
  <c r="K41" i="6"/>
  <c r="K42" i="6"/>
  <c r="K47" i="6"/>
  <c r="K48" i="6"/>
  <c r="K49" i="6"/>
  <c r="K50" i="6"/>
  <c r="K51" i="6"/>
  <c r="K52" i="6"/>
  <c r="K53" i="6"/>
  <c r="K54" i="6"/>
  <c r="K56" i="6"/>
  <c r="K57" i="6"/>
  <c r="K58" i="6"/>
  <c r="K59" i="6"/>
  <c r="K60" i="6"/>
  <c r="K62" i="6"/>
  <c r="K63" i="6"/>
  <c r="K66" i="6"/>
  <c r="K68" i="6"/>
  <c r="K6" i="6"/>
  <c r="K7" i="6"/>
  <c r="K9" i="6"/>
  <c r="K10" i="6"/>
  <c r="K12" i="6"/>
  <c r="K13" i="6"/>
  <c r="CG96" i="9" l="1"/>
  <c r="CN96" i="9" s="1"/>
  <c r="Q30" i="6"/>
  <c r="F30" i="6"/>
  <c r="O18" i="6"/>
  <c r="Q32" i="6"/>
  <c r="M18" i="6"/>
  <c r="I30" i="6"/>
  <c r="S30" i="6"/>
  <c r="I31" i="6"/>
  <c r="S31" i="6"/>
  <c r="F31" i="6"/>
  <c r="F32" i="6" s="1"/>
  <c r="O68" i="6"/>
  <c r="M25" i="6"/>
  <c r="O25" i="6"/>
  <c r="W28" i="6"/>
  <c r="F62" i="6"/>
  <c r="F63" i="6" s="1"/>
  <c r="F59" i="6"/>
  <c r="F57" i="6"/>
  <c r="F36" i="6"/>
  <c r="F35" i="6"/>
  <c r="C67" i="6"/>
  <c r="F66" i="6"/>
  <c r="C24" i="6"/>
  <c r="C23" i="6"/>
  <c r="C22" i="6"/>
  <c r="C11" i="6"/>
  <c r="C8" i="6"/>
  <c r="F17" i="6"/>
  <c r="C16" i="6"/>
  <c r="C44" i="6"/>
  <c r="C43" i="6"/>
  <c r="F42" i="6"/>
  <c r="F41" i="6"/>
  <c r="F16" i="6" l="1"/>
  <c r="G16" i="6"/>
  <c r="H16" i="6"/>
  <c r="I16" i="6"/>
  <c r="I18" i="6" s="1"/>
  <c r="G67" i="6"/>
  <c r="H67" i="6"/>
  <c r="I67" i="6" s="1"/>
  <c r="I68" i="6" s="1"/>
  <c r="H44" i="6"/>
  <c r="I44" i="6" s="1"/>
  <c r="Q43" i="6"/>
  <c r="I43" i="6"/>
  <c r="H8" i="6"/>
  <c r="F8" i="6"/>
  <c r="G8" i="6"/>
  <c r="I8" i="6"/>
  <c r="H24" i="6"/>
  <c r="F24" i="6"/>
  <c r="G24" i="6"/>
  <c r="I24" i="6"/>
  <c r="G11" i="6"/>
  <c r="H11" i="6"/>
  <c r="F11" i="6"/>
  <c r="I11" i="6"/>
  <c r="I14" i="6" s="1"/>
  <c r="F60" i="6"/>
  <c r="G23" i="6"/>
  <c r="F23" i="6"/>
  <c r="H23" i="6"/>
  <c r="I23" i="6" s="1"/>
  <c r="F22" i="6"/>
  <c r="F25" i="6" s="1"/>
  <c r="H22" i="6"/>
  <c r="I22" i="6"/>
  <c r="I25" i="6" s="1"/>
  <c r="S32" i="6"/>
  <c r="I32" i="6"/>
  <c r="Q44" i="6"/>
  <c r="Q67" i="6"/>
  <c r="Q68" i="6" s="1"/>
  <c r="Q23" i="6"/>
  <c r="Q24" i="6"/>
  <c r="Q22" i="6"/>
  <c r="M8" i="6"/>
  <c r="O8" i="6"/>
  <c r="Q8" i="6"/>
  <c r="Q11" i="6"/>
  <c r="M11" i="6"/>
  <c r="O11" i="6"/>
  <c r="Q16" i="6"/>
  <c r="Q18" i="6" s="1"/>
  <c r="Q45" i="6"/>
  <c r="O43" i="6"/>
  <c r="O45" i="6" s="1"/>
  <c r="K31" i="6"/>
  <c r="K8" i="6"/>
  <c r="K22" i="6"/>
  <c r="K24" i="6"/>
  <c r="K30" i="6"/>
  <c r="K23" i="6"/>
  <c r="F44" i="6"/>
  <c r="K44" i="6"/>
  <c r="F18" i="6"/>
  <c r="K16" i="6"/>
  <c r="K18" i="6" s="1"/>
  <c r="K11" i="6"/>
  <c r="F67" i="6"/>
  <c r="F68" i="6" s="1"/>
  <c r="K67" i="6"/>
  <c r="F43" i="6"/>
  <c r="K43" i="6"/>
  <c r="K45" i="6" s="1"/>
  <c r="M5" i="6"/>
  <c r="K5" i="6"/>
  <c r="F54" i="6"/>
  <c r="I45" i="6" l="1"/>
  <c r="O14" i="6"/>
  <c r="Q14" i="6"/>
  <c r="Q25" i="6"/>
  <c r="M14" i="6"/>
  <c r="K14" i="6"/>
  <c r="K25" i="6"/>
  <c r="F14" i="6"/>
  <c r="D69" i="6" s="1"/>
  <c r="F45" i="6"/>
  <c r="P69" i="6" l="1"/>
</calcChain>
</file>

<file path=xl/sharedStrings.xml><?xml version="1.0" encoding="utf-8"?>
<sst xmlns="http://schemas.openxmlformats.org/spreadsheetml/2006/main" count="878" uniqueCount="254">
  <si>
    <t>UND</t>
  </si>
  <si>
    <t>QUANTIDADE</t>
  </si>
  <si>
    <t>MATERIAL</t>
  </si>
  <si>
    <t>M.O</t>
  </si>
  <si>
    <t>M²</t>
  </si>
  <si>
    <t xml:space="preserve">REGULARIZAÇÃO DO PISO </t>
  </si>
  <si>
    <t>VEDAÇÃO DAS JUNTAS/ REJUNTE</t>
  </si>
  <si>
    <t>R$  SUB TOTAL</t>
  </si>
  <si>
    <t>APLICAÇÃO DE IMPERMEABILIZAÇÃO COM ANCORAGEM 30 CM</t>
  </si>
  <si>
    <t>EXECUÇÃO DE CONCRETAGEM COM POLIMENTO A BAMBOLÊ</t>
  </si>
  <si>
    <t>PINTURA DE DEMARCAÇÃO DE VAGA ( ÁREA REF 2 DEMÃOS)</t>
  </si>
  <si>
    <t>EXECUÇÃO DE DRENOS PISO</t>
  </si>
  <si>
    <t>INSTALAÇÃO DE DRENOS AÉREOS (CALHA AÉREA LINEAR)</t>
  </si>
  <si>
    <t>INSTALAÇÃO DE LUMINÁRIAS DE ACLARAMENTO 5W</t>
  </si>
  <si>
    <t>INSTALAÇÃO DE INTERUPTOR INDEPEDENTE</t>
  </si>
  <si>
    <t>INSTALAÇÃO DE PORTÃO DE ALUMINIO/ GRADIL COM PORTA DE ABRIR 300X260</t>
  </si>
  <si>
    <t>INSTALAÇÃO DE PORTÃO DE ALUMINIO/ GRADIL  ELEVADO/ MOTORIZADO 300X261</t>
  </si>
  <si>
    <t>M</t>
  </si>
  <si>
    <t>VEDAÇÃO DE JANELA VITRINE/ GESSO ACARTONADO</t>
  </si>
  <si>
    <t>REMOÇÃO DE PORTA DE ABRIR 90 CM</t>
  </si>
  <si>
    <t>INSTALAÇÃO  DE PORTA DESLIZANTE 90 CM</t>
  </si>
  <si>
    <t>INSTALAÇÃO DE RAMPA DE ACESSO 5% INCLINAÇÃO</t>
  </si>
  <si>
    <t>MANUTENÇÃO DE ESQUADRIAS/ PORTAS MDF 80 CM</t>
  </si>
  <si>
    <t>MANUTENÇÃO DE RODAPÉ</t>
  </si>
  <si>
    <t>REMOÇÃO E ACABAMENTO DE PAREDE DE GESSO</t>
  </si>
  <si>
    <t>REMOÇÃO DE GUARDA EXISTENTE H:1,10</t>
  </si>
  <si>
    <t>FIXAÇÃO DE NOVO GUARDA CORPO E PINTURA H: 1,10</t>
  </si>
  <si>
    <t>INSTALAÇÃO DE TOMADAS DE PISO EMBUTIDAS NO TABLADO</t>
  </si>
  <si>
    <t>REMOÇÃO DE PEDRAS E PIA DE LAVABO</t>
  </si>
  <si>
    <t>INSTALAÇÃO DE PONTO DE ÁGUA FRIA COM TORNEIRA</t>
  </si>
  <si>
    <t>AMPLIAÇÃO DE PAREDE DE VEDAÇÃO/ JANELA</t>
  </si>
  <si>
    <t xml:space="preserve">INSTALAÇÃO DE ESTRUTURA E ACABAMENTO DE TABLADO </t>
  </si>
  <si>
    <t>REGULAGEM DO NIVEL/ ASSENTAMENTO DE PEDRA DE CUBA - LAVABO</t>
  </si>
  <si>
    <t>INSTALAÇÃO DE VEDAÇÃO EM GESSO/ MATERIAL ANTIRUIDO/ACÚSTICO</t>
  </si>
  <si>
    <t>VEDAÇÃO DAS JUNTAS DAS ESQUDRIAS (EXTERNO)</t>
  </si>
  <si>
    <t>PROPOSTAS DE ORÇAMENTO PROJETO DE REFORMA CIVIL</t>
  </si>
  <si>
    <t>ESQUADRIA - MARCENARIA</t>
  </si>
  <si>
    <t>ESQUADRIA - VIDRAÇARIA</t>
  </si>
  <si>
    <t>PISO - TRATAMENTO E VEDAÇÃO</t>
  </si>
  <si>
    <t>VEDAÇÃO - GESSO</t>
  </si>
  <si>
    <t>PORTÃO/ GRADIL - SERRALHERIA</t>
  </si>
  <si>
    <t>ACABAMENTO - PINTURA</t>
  </si>
  <si>
    <t>FIXAÇÃO LATERAL DE GUARDA CORPO E PINTURA   3,48 X 1,10</t>
  </si>
  <si>
    <t>INSTALAÇÃO DE PEDRAS COM CUBA 60 X 39 CM</t>
  </si>
  <si>
    <t xml:space="preserve">MANUTENÇÃO DAS LAMINAS DE VIDROS </t>
  </si>
  <si>
    <t>SUBSTITUIÇAO DE ESQUADRIA/  JANELA ANTIRUIDO 295 X 50 CM</t>
  </si>
  <si>
    <t>SUBSTITUIÇAO DE ESQUADRIA/  JANELA ANTIRUIDO 195 X 150 CM</t>
  </si>
  <si>
    <t>SUBSTITUIÇAO DE ESQUADRIA/  JANELA ANTIRUIDO 450 X 150 CM</t>
  </si>
  <si>
    <t>SUBSTITUIÇAO DE ESQUADRIA/  JANELA ANTIRUIDO 200 X 150 CM</t>
  </si>
  <si>
    <t>REGULAGEM DE ABERTURA ESQUADRIA/  JANELA 360 X 300 CM FOLHAS PANORAMICAS</t>
  </si>
  <si>
    <t>ASSENTAMENTO DE PEDRA 150 x 10 CM</t>
  </si>
  <si>
    <t>RECORTE E INSTALAÇÃO DE TOMADA DE PISO 150 x 10 CM</t>
  </si>
  <si>
    <t>INSTALAÇÃO DE JANELA VITRINE 200 x 100</t>
  </si>
  <si>
    <t>INSTALAÇÃO DE NOVA PORTA DE ABRIR 80 CM</t>
  </si>
  <si>
    <t>RETOQUE DE PINTURA EM PAREDE (ÁREA REFERENTE 2 DEMÃOS)</t>
  </si>
  <si>
    <t>INSTALAÇÕES ELETRICAS/ TOMADA ILUMINAÇÃO</t>
  </si>
  <si>
    <t>PEDRAS</t>
  </si>
  <si>
    <t>INSTALAÇÕES E REGULAREM DE PONTOS DE ÁGUA FRIA</t>
  </si>
  <si>
    <t>PISO/ ANCORAGEM - IMPERMEABILIZAÇÃO</t>
  </si>
  <si>
    <t>APLICAÇÃO DE MANTA IMPERMEABILIZATE TPO SOBRE A COBERTURA</t>
  </si>
  <si>
    <t>PINTURA LISA PAREDES PARA DEMARCAÇÃO ( ÁREA REF 2 DEMÃOS)</t>
  </si>
  <si>
    <t>ORÇAMENTO EMPRESA 1</t>
  </si>
  <si>
    <t>ORÇAMENTO MENOR VALOR</t>
  </si>
  <si>
    <t>ORÇAMENTO EMPRESA 2</t>
  </si>
  <si>
    <t>ORÇAMENTO EMPRESA 3</t>
  </si>
  <si>
    <t>ORÇAMENTO EMPRESA 4</t>
  </si>
  <si>
    <t>ORÇAMENTO EMPRESA 5</t>
  </si>
  <si>
    <t>RETIRADA DO REVESTIMENTO E MANTA  ASFÁLTICA ANCORAGEM 30 CM</t>
  </si>
  <si>
    <t>TEICON TEC</t>
  </si>
  <si>
    <t>SALA ENGENHARIA</t>
  </si>
  <si>
    <t>IK CONSTRUÇÕES</t>
  </si>
  <si>
    <t>ORÇAMENTO EMPRESA 6</t>
  </si>
  <si>
    <t>CONFERÊNCIA IN LOCO</t>
  </si>
  <si>
    <t>41 99899 5408 - Eliezer</t>
  </si>
  <si>
    <t>S.M &amp; ART</t>
  </si>
  <si>
    <t>41 99574 1086</t>
  </si>
  <si>
    <t>ATAMI CONSTRUÇÕES</t>
  </si>
  <si>
    <t>46 99923 4439</t>
  </si>
  <si>
    <t>41 99602 9685 - Alberto</t>
  </si>
  <si>
    <t xml:space="preserve">41 3149-4955 José Roberto </t>
  </si>
  <si>
    <t>ORÇAMENTO EMPRESA 7</t>
  </si>
  <si>
    <t>ORÇAMENTO EMPRESA 8</t>
  </si>
  <si>
    <t>S.A COMERCIO</t>
  </si>
  <si>
    <t xml:space="preserve">(41) 3406-2950 </t>
  </si>
  <si>
    <t>46 9998 03591</t>
  </si>
  <si>
    <t>ORÇAMENTO EMPRESA 9</t>
  </si>
  <si>
    <t>ORÇAMENTO EMPRESA 10</t>
  </si>
  <si>
    <t>JC CONSTRUÇÕES</t>
  </si>
  <si>
    <t>46 98405 0208</t>
  </si>
  <si>
    <t>RL EMPREITEIRA</t>
  </si>
  <si>
    <t>46 99136 8006</t>
  </si>
  <si>
    <t>JR CONSTRUÇÃO</t>
  </si>
  <si>
    <t>41 99548 0817</t>
  </si>
  <si>
    <t>ORÇAMENTO EMPRESA 11</t>
  </si>
  <si>
    <t>ESTILO ENG. DO ALUMINIO</t>
  </si>
  <si>
    <t>41 99963 3030</t>
  </si>
  <si>
    <t>MATERIAL+M.O.</t>
  </si>
  <si>
    <t>ORÇAMENTO EMPRESA 12</t>
  </si>
  <si>
    <t xml:space="preserve">SIENA </t>
  </si>
  <si>
    <t>41 99991 8137</t>
  </si>
  <si>
    <t>ANEXO I</t>
  </si>
  <si>
    <t>ANEXO II</t>
  </si>
  <si>
    <t>Empreiteira Geovane</t>
  </si>
  <si>
    <t>M.O.</t>
  </si>
  <si>
    <t>MAT.</t>
  </si>
  <si>
    <t>RECORTE E INSTALAÇÃO DE TOMADA DE PISO AÇO 4X4</t>
  </si>
  <si>
    <t>INSTALAÇÃO DE FIAÇÃO DE PISO EMBUTIDAS NO TABLADO/ GARAGEM</t>
  </si>
  <si>
    <t>PERÍODO 90 DIAS</t>
  </si>
  <si>
    <t>1. GARAGEM</t>
  </si>
  <si>
    <t>1.1 PISO</t>
  </si>
  <si>
    <t>2. SUBSOLO - FUNDOS</t>
  </si>
  <si>
    <t>REMOÇÃO DE PISO COM DESGASTE COM EXECUÇÃO DE DRENOS</t>
  </si>
  <si>
    <t>1.2 PORTÕES COM PASSAGEM DE AR</t>
  </si>
  <si>
    <t>1.3 INSTALAÇÃO DE CALHAS</t>
  </si>
  <si>
    <t xml:space="preserve">1.4 INSTALAÇÃO DE PROTEÇÃO EMBORRACHADO </t>
  </si>
  <si>
    <t>PRIMER IMPERMEABILIZANTE</t>
  </si>
  <si>
    <t>VEDAÇÃO DAS JUNTAS DAS ESQUDRIAS (EXTERNO) 138 CM</t>
  </si>
  <si>
    <t>3. PLENÁRIO</t>
  </si>
  <si>
    <t>INSTALAÇÃO DE DRENOS AÉREOS (CALHA AÉREA LINEAR) INT</t>
  </si>
  <si>
    <t>INSTALAÇÃO DE DRENOS AÉREOS (CALHA AÉREA LINEAR) EXT</t>
  </si>
  <si>
    <t>4. TÉRREO</t>
  </si>
  <si>
    <t>6. TÉRREO-FUNDOS</t>
  </si>
  <si>
    <t>7. 1o ANDAR</t>
  </si>
  <si>
    <t>REMOÇÃO DE PAREDE DE GESSO E ACABAMENTO</t>
  </si>
  <si>
    <t>MANUTENÇÃO/ REVISÃO DE RALOS</t>
  </si>
  <si>
    <t xml:space="preserve">MANUTENÇÃO PONTOS DE ESGOTO/ SIFÃO </t>
  </si>
  <si>
    <t>8. 2o ANDAR</t>
  </si>
  <si>
    <t>9. 3o ANDAR</t>
  </si>
  <si>
    <t>10. BANHEIROS</t>
  </si>
  <si>
    <t>11. FACHADA DE VIDRO E DIVISÓRIA DOS GABINETES</t>
  </si>
  <si>
    <t>12. PORTAS E FECHADURAS</t>
  </si>
  <si>
    <t>13. TELHADOS</t>
  </si>
  <si>
    <t>INSTALAÇÃO DE UMA PORTA COM MOLA EMBUTIDA</t>
  </si>
  <si>
    <t>REGULAGEM DE ABERTURA ESQUADRIA/  JANELA SALA 101</t>
  </si>
  <si>
    <t>MANUTENÇÃO DE RODAPÉ SALA 204</t>
  </si>
  <si>
    <t>VEDAÇÃO DAS JUNTAS/ REJUNTE CORREDOR</t>
  </si>
  <si>
    <t>APLICAÇÃO DE MANTA IMPERMEABILIZATE TPO  PLENÁRIO</t>
  </si>
  <si>
    <t>TRATAMENTO DE  IMPERMEABILIZAÇÃO COM ANCORAGEM 30 CM</t>
  </si>
  <si>
    <t>SUBSTITUIÇÃO DE TELHADO</t>
  </si>
  <si>
    <t>ACABAMENTO DE DIVISÓRIAS DE CANTO</t>
  </si>
  <si>
    <t>MANUTENÇÃO/ REGULAGEM ACIONAMENTOS DE CAIXA DESCARGA</t>
  </si>
  <si>
    <t>5. ADEQUAÇÃO PARAPEITO CENTRAL 1º, 2º E 3º PAVIMENTO</t>
  </si>
  <si>
    <t>DESCRIÇÃO DOS SERVIÇOS</t>
  </si>
  <si>
    <t>3.4 ADEQUAÇÃO DO NÍVEL DO TABLADO</t>
  </si>
  <si>
    <t>3.5 ADEQUAÇÃO DOS LAVABOS - GALERIA</t>
  </si>
  <si>
    <t>VALOR TOTAL =</t>
  </si>
  <si>
    <t>ORÇAMENTO MENOR VALOR/      REFERÊNCIA SINAPI 2022</t>
  </si>
  <si>
    <t>103075/ 97097</t>
  </si>
  <si>
    <t>PROTEÇÃO MECÂNICA DE SUPERFÍCIE HORIZONTAL COM ARGAMASSA DE CIMENTO E AREIA, TRAÇO 1:3, E=2CM</t>
  </si>
  <si>
    <t xml:space="preserve">88494/88489 </t>
  </si>
  <si>
    <t>97647/94210</t>
  </si>
  <si>
    <t>M³</t>
  </si>
  <si>
    <t>BORRACHA PROTETOR DE COLUNA/ CANTONEIRA AUTOCOLANTE</t>
  </si>
  <si>
    <t>AMPLIAÇÃO DE PAREDE DE VEDAÇÃO/ JANELA - P/ MURAL</t>
  </si>
  <si>
    <t>2.1 PAREDE SALA DE LANCHES COM INFILTRAÇÃO</t>
  </si>
  <si>
    <t>3.1 PORTAS MADEIRA (ENROSCANDO, DESCOLANDO)</t>
  </si>
  <si>
    <t>3.2 JANELA GRANDE PROBLEMA DE FECHAMENTO</t>
  </si>
  <si>
    <t xml:space="preserve">3.3 INFILTRAÇÃO HALL ENTRADA/ GESSO DANIFICADO PAREDE E FORRO </t>
  </si>
  <si>
    <t>ORÇAMENTO MENOR VALOR/      REFERÊNCIA SINAPI AGOSTO/2022</t>
  </si>
  <si>
    <t>UNIDADE DE MEDIDA</t>
  </si>
  <si>
    <t>ÁREAS DE REFÊNCIA PARA CÁLCULOS</t>
  </si>
  <si>
    <t>REGULAGEM DE ABERTURA ESQUADRIA/  JANELA 360 X 300 CM FOLHAS</t>
  </si>
  <si>
    <t>3. MEMORIAL DE CALCULO
Execução de Reforma
Câmara Municipal de Pato Branco</t>
  </si>
  <si>
    <t>250,59  M² - ÁREA; 75,95 M - PERÍMETRO; 
12,53 M³ - VOLUME CONSIDERANDO 5 CM DE ESPESSURA</t>
  </si>
  <si>
    <t xml:space="preserve">7 PONTOS LOCADOS </t>
  </si>
  <si>
    <t>2 PONTOS SOLICITADOS</t>
  </si>
  <si>
    <t>34,20 DE COMPRIMENTO LINEAR</t>
  </si>
  <si>
    <t>8,20 DE COMPRIMENTO LINEAR E VERTICAL</t>
  </si>
  <si>
    <t xml:space="preserve">4 CANTONEIRA POR PILAR </t>
  </si>
  <si>
    <t>9 VAGAS</t>
  </si>
  <si>
    <t>7,19 M X 3 X LADO INTERNO E EXTERNO</t>
  </si>
  <si>
    <t>7 FOLHAS PLENÁRIO/ GALERIA</t>
  </si>
  <si>
    <t>1 ESQUADRIA</t>
  </si>
  <si>
    <t xml:space="preserve">5,35 M X 3 X LADO INTERNO </t>
  </si>
  <si>
    <t xml:space="preserve">13 PONTOS </t>
  </si>
  <si>
    <t xml:space="preserve">3 PASSAGEM (41,24+24)*3*2,85 </t>
  </si>
  <si>
    <t xml:space="preserve">FIXAÇÃO LATERAL DE GUARDA CORPO E PINTURA  </t>
  </si>
  <si>
    <t xml:space="preserve"> 3,48 X 1,10</t>
  </si>
  <si>
    <t xml:space="preserve">1 VITRINE FOLHA FIXA </t>
  </si>
  <si>
    <t xml:space="preserve">1 FOLHA </t>
  </si>
  <si>
    <t>2 LAVABOS ADEQUAÇÃO</t>
  </si>
  <si>
    <t>1 ADEQUAÇÃO ACRES, 35 CM LARGURA</t>
  </si>
  <si>
    <t xml:space="preserve">SUBSTITUIÇAO DE ESQUADRIA/  JANELA ANTIRUIDO </t>
  </si>
  <si>
    <t>200 X 150 CM</t>
  </si>
  <si>
    <t>450 X 150 CM</t>
  </si>
  <si>
    <t>195 X 150 CM</t>
  </si>
  <si>
    <t>295 X 50 CM</t>
  </si>
  <si>
    <t xml:space="preserve">INSTALAÇÃO DE PORTÃO DE ALUMINIO/ GRADIL COM PORTA DE ABRIR </t>
  </si>
  <si>
    <t>1 UNIDADE  COM PORTA DE ABRIR 300X260</t>
  </si>
  <si>
    <t>INSTALAÇÃO DE PORTÃO DE ALUMINIO/ GRADIL  ELEVADO/ MOTORIZADO</t>
  </si>
  <si>
    <t>2 UNIDADE SOLICITADA MOTORIZADA  300X261</t>
  </si>
  <si>
    <t xml:space="preserve">VEDAÇÃO DAS JUNTAS DAS ESQUDRIAS (EXTERNO) </t>
  </si>
  <si>
    <t>4 JUNTAS INFERIORES DE JANELA 138 CM</t>
  </si>
  <si>
    <t xml:space="preserve">RETOQUE DE PINTURA EM PAREDE </t>
  </si>
  <si>
    <t>5,35 M X 3 X LADO INTERNO (ÁREA REFERENTE 2 DEMÃOS)</t>
  </si>
  <si>
    <t>{{9,3+9,3+3,3+3,3)*3</t>
  </si>
  <si>
    <t>(7,35+4,86)*3*2</t>
  </si>
  <si>
    <t>(4,68+3,28)*2,7</t>
  </si>
  <si>
    <t xml:space="preserve">INSTALAÇÃO DE JANELA VITRINE </t>
  </si>
  <si>
    <t>200 x 100</t>
  </si>
  <si>
    <t xml:space="preserve">INSTALAÇÃO DE NOVA PORTA DE ABRIR </t>
  </si>
  <si>
    <t>1 FOLHA 80 CM</t>
  </si>
  <si>
    <t>3,62*2,7</t>
  </si>
  <si>
    <t>PERÍMETRO = 18,44</t>
  </si>
  <si>
    <t>18,44*2,7</t>
  </si>
  <si>
    <t>3% DE 233 M² = 7</t>
  </si>
  <si>
    <t xml:space="preserve">ASSENTAMENTO DE PEDRA </t>
  </si>
  <si>
    <t>150 x 10 CM</t>
  </si>
  <si>
    <t xml:space="preserve">RECORTE E INSTALAÇÃO DE TOMADA DE PISO </t>
  </si>
  <si>
    <t xml:space="preserve">19 PIAS </t>
  </si>
  <si>
    <t>15 RALOS</t>
  </si>
  <si>
    <t>18 ACIONAMENTOS VASOS/MICTÓRIO</t>
  </si>
  <si>
    <t>2 BANCADAS</t>
  </si>
  <si>
    <t>1 DESNIVEL</t>
  </si>
  <si>
    <t>3+4+4 CANTONEIRAS/ PAVIMENTO H=2,70 M</t>
  </si>
  <si>
    <t>SUB 1, TER 7, 1AND 14, 2AND 16, 3AND 12, ANEX 12</t>
  </si>
  <si>
    <t>PERÍMETRO = 77,50</t>
  </si>
  <si>
    <t>252,42+16,12+((77,47+18,17)*0,3)</t>
  </si>
  <si>
    <t>252,42+16,12</t>
  </si>
  <si>
    <t>AREA DO PLENÁRIO</t>
  </si>
  <si>
    <t>5. PROPOSTAS DE ORÇAMENTO PROJETO DE REFORMA CIVIL</t>
  </si>
  <si>
    <t>6. CRONOGRAMA FÍSICO FINANCEIRO</t>
  </si>
  <si>
    <t>UNIDADE</t>
  </si>
  <si>
    <t>CUSTO UNITÁRIO 
(SEM DBI %) R$ =</t>
  </si>
  <si>
    <t>BDI %</t>
  </si>
  <si>
    <t>CUSTO UNITÁRIO 
(COM DBI %) R$ =</t>
  </si>
  <si>
    <t>CUSTO TOTAL R$ =</t>
  </si>
  <si>
    <t>INSTALAÇÃO DE NOVA PORTA DE ABRIR 80 CM GARAGEM/ELEVADOR</t>
  </si>
  <si>
    <t xml:space="preserve">INSTALAÇÃO DE NOVA PORTA DE ABRIR 80 CM GARAGEM </t>
  </si>
  <si>
    <t>INSTALAÇÃO DE NOVA PORTA DE ABRIR GARAGEM/ ELEVADOR</t>
  </si>
  <si>
    <t>INSTALAÇÃO DE TOMADAS DUPLAS EMBUTIDAS NA PAREDE/ GESSO</t>
  </si>
  <si>
    <t>INSTALAÇÃO DE TOMADAS EMBUTIDAS EM PAREDE/GESSO</t>
  </si>
  <si>
    <t xml:space="preserve">3 PONTOS </t>
  </si>
  <si>
    <t>PRIMER IMPERMEABILIZANTE TRATAMENTO DE INFILTRAÇÃO DAS SALAS  205 E 206</t>
  </si>
  <si>
    <t>RETOQUE DE PINTURA EM PAREDE (ÁREA REFERENTE 2 DEMÃOS) SALAS  205 E 206</t>
  </si>
  <si>
    <t>PRIMER IMPERMEABILIZANTE TRATAMENTO DE INFILTRAÇÃO DAS SALAS 301 E 305</t>
  </si>
  <si>
    <t>RETOQUE DE PINTURA EM PAREDE (ÁREA REFERENTE 2 DEMÃOS) SALAS  301 E 305</t>
  </si>
  <si>
    <t>PRIMER IMPERMEABILIZANTE TRATAMENTO DE INFILTRAÇÃO SALAS 105 E 106</t>
  </si>
  <si>
    <t>RETOQUE DE PINTURA EM PAREDE SALAS 105 E 107</t>
  </si>
  <si>
    <t>PRIMER IMPERMEABILIZANTE TRATAMENTO DE INFILTRAÇÃO DAS SALAS 105 E 106</t>
  </si>
  <si>
    <t>RETOQUE DE PINTURA EM PAREDE (ÁREA REFERENTE 2 DEMÃOS) SALAS  105 E 106</t>
  </si>
  <si>
    <t>BDI1</t>
  </si>
  <si>
    <t>RETOQUE DE PINTURA EM PAREDE SALAS 105 E 106</t>
  </si>
  <si>
    <t>MANUTENÇÃO/ INSTALAÇÃO DE FECHADURAS</t>
  </si>
  <si>
    <t>MANUTENÇÃO INSTALAÇÃO DE FECHADURAS</t>
  </si>
  <si>
    <t>REMOÇÃO E VEDAÇÃO DE JANELA VITRINE (HALL ELEVADOR/ PAREDE MURAL)</t>
  </si>
  <si>
    <t>COT</t>
  </si>
  <si>
    <t>REF. SINAPI/2022
COT COTAÇÃO</t>
  </si>
  <si>
    <t>102176 - 40%</t>
  </si>
  <si>
    <t>REPARO AREA DE 122,40  CONSIDERANDO 40% VALOR DE INSTALAÇÃO DE NOVAS ESQUADRIAS</t>
  </si>
  <si>
    <t>INSTALAÇÃO DE UMA PORTA COM MOLA EMBUTIDA 2 FOLHAS ABRIR</t>
  </si>
  <si>
    <t>INSTALAÇÃO DE UMA PORTA COM MOLA EMBUTIDA 2 FOLHAS ABRIR 100X219/ 100X2019</t>
  </si>
  <si>
    <t>INSTALAÇÃO DE UMA PORTA COM MOLA EMBUTIDA 2 FOLHAS DE ABRIR 100X219/ 100X2019</t>
  </si>
  <si>
    <t>2  FOLHAS  DE 100X2019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</si>
</sst>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[$R$ -416]#,##0.00"/>
    <numFmt numFmtId="165" formatCode="_-[$R$-416]\ * #,##0.00_-;\-[$R$-416]\ * #,##0.00_-;_-[$R$-416]\ * &quot;-&quot;??_-;_-@_-"/>
  </numFmts>
  <fonts count="21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0"/>
      <color rgb="FF000000"/>
      <name val="Arial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</font>
    <font>
      <b/>
      <sz val="16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8" tint="0.79998168889431442"/>
        <bgColor rgb="FFCFE2F3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9" tint="0.79998168889431442"/>
        <bgColor rgb="FFCFE2F3"/>
      </patternFill>
    </fill>
    <fill>
      <patternFill patternType="solid">
        <fgColor theme="2" tint="-0.14999847407452621"/>
        <bgColor theme="0"/>
      </patternFill>
    </fill>
    <fill>
      <patternFill patternType="solid">
        <fgColor theme="5" tint="0.59999389629810485"/>
        <bgColor rgb="FFCFE2F3"/>
      </patternFill>
    </fill>
    <fill>
      <patternFill patternType="solid">
        <fgColor theme="2" tint="-0.14999847407452621"/>
        <bgColor rgb="FFCFE2F3"/>
      </patternFill>
    </fill>
    <fill>
      <patternFill patternType="solid">
        <fgColor theme="6" tint="0.79998168889431442"/>
        <bgColor rgb="FFCFE2F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7" tint="0.59999389629810485"/>
        <bgColor rgb="FFCFE2F3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2" tint="-4.9989318521683403E-2"/>
        <bgColor rgb="FFCFE2F3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FE2F3"/>
      </patternFill>
    </fill>
    <fill>
      <patternFill patternType="solid">
        <fgColor theme="2" tint="-4.9989318521683403E-2"/>
        <bgColor theme="0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591">
    <xf numFmtId="0" fontId="0" fillId="0" borderId="0" xfId="0"/>
    <xf numFmtId="0" fontId="0" fillId="0" borderId="20" xfId="0" applyBorder="1"/>
    <xf numFmtId="0" fontId="0" fillId="0" borderId="21" xfId="0" applyBorder="1"/>
    <xf numFmtId="165" fontId="8" fillId="9" borderId="16" xfId="0" applyNumberFormat="1" applyFont="1" applyFill="1" applyBorder="1"/>
    <xf numFmtId="165" fontId="8" fillId="9" borderId="4" xfId="0" applyNumberFormat="1" applyFont="1" applyFill="1" applyBorder="1"/>
    <xf numFmtId="0" fontId="8" fillId="25" borderId="16" xfId="0" applyFont="1" applyFill="1" applyBorder="1" applyAlignment="1">
      <alignment horizontal="center"/>
    </xf>
    <xf numFmtId="0" fontId="9" fillId="0" borderId="20" xfId="0" applyFont="1" applyBorder="1"/>
    <xf numFmtId="0" fontId="9" fillId="0" borderId="0" xfId="0" applyFont="1"/>
    <xf numFmtId="0" fontId="6" fillId="31" borderId="16" xfId="0" applyFont="1" applyFill="1" applyBorder="1" applyAlignment="1">
      <alignment horizontal="center"/>
    </xf>
    <xf numFmtId="0" fontId="6" fillId="31" borderId="4" xfId="0" applyFont="1" applyFill="1" applyBorder="1" applyAlignment="1">
      <alignment horizontal="center"/>
    </xf>
    <xf numFmtId="165" fontId="8" fillId="6" borderId="16" xfId="0" applyNumberFormat="1" applyFont="1" applyFill="1" applyBorder="1"/>
    <xf numFmtId="165" fontId="8" fillId="6" borderId="4" xfId="0" applyNumberFormat="1" applyFont="1" applyFill="1" applyBorder="1"/>
    <xf numFmtId="165" fontId="8" fillId="4" borderId="20" xfId="0" applyNumberFormat="1" applyFont="1" applyFill="1" applyBorder="1"/>
    <xf numFmtId="165" fontId="8" fillId="4" borderId="0" xfId="0" applyNumberFormat="1" applyFont="1" applyFill="1"/>
    <xf numFmtId="0" fontId="6" fillId="24" borderId="16" xfId="0" applyFont="1" applyFill="1" applyBorder="1" applyAlignment="1">
      <alignment horizontal="center"/>
    </xf>
    <xf numFmtId="0" fontId="6" fillId="24" borderId="4" xfId="0" applyFont="1" applyFill="1" applyBorder="1" applyAlignment="1">
      <alignment horizontal="center"/>
    </xf>
    <xf numFmtId="165" fontId="8" fillId="10" borderId="16" xfId="0" applyNumberFormat="1" applyFont="1" applyFill="1" applyBorder="1"/>
    <xf numFmtId="165" fontId="8" fillId="10" borderId="4" xfId="0" applyNumberFormat="1" applyFont="1" applyFill="1" applyBorder="1"/>
    <xf numFmtId="0" fontId="8" fillId="24" borderId="16" xfId="0" applyFont="1" applyFill="1" applyBorder="1" applyAlignment="1">
      <alignment horizontal="center"/>
    </xf>
    <xf numFmtId="0" fontId="6" fillId="23" borderId="16" xfId="0" applyFont="1" applyFill="1" applyBorder="1" applyAlignment="1">
      <alignment horizontal="center"/>
    </xf>
    <xf numFmtId="0" fontId="6" fillId="23" borderId="4" xfId="0" applyFont="1" applyFill="1" applyBorder="1" applyAlignment="1">
      <alignment horizontal="center"/>
    </xf>
    <xf numFmtId="0" fontId="6" fillId="28" borderId="16" xfId="0" applyFont="1" applyFill="1" applyBorder="1" applyAlignment="1">
      <alignment horizontal="center"/>
    </xf>
    <xf numFmtId="0" fontId="6" fillId="28" borderId="4" xfId="0" applyFont="1" applyFill="1" applyBorder="1" applyAlignment="1">
      <alignment horizontal="center"/>
    </xf>
    <xf numFmtId="165" fontId="8" fillId="8" borderId="16" xfId="0" applyNumberFormat="1" applyFont="1" applyFill="1" applyBorder="1"/>
    <xf numFmtId="165" fontId="8" fillId="8" borderId="4" xfId="0" applyNumberFormat="1" applyFont="1" applyFill="1" applyBorder="1"/>
    <xf numFmtId="0" fontId="6" fillId="19" borderId="16" xfId="0" applyFont="1" applyFill="1" applyBorder="1" applyAlignment="1">
      <alignment horizontal="center"/>
    </xf>
    <xf numFmtId="0" fontId="6" fillId="19" borderId="4" xfId="0" applyFont="1" applyFill="1" applyBorder="1" applyAlignment="1">
      <alignment horizontal="center"/>
    </xf>
    <xf numFmtId="165" fontId="8" fillId="5" borderId="16" xfId="0" applyNumberFormat="1" applyFont="1" applyFill="1" applyBorder="1"/>
    <xf numFmtId="165" fontId="8" fillId="5" borderId="4" xfId="0" applyNumberFormat="1" applyFont="1" applyFill="1" applyBorder="1"/>
    <xf numFmtId="0" fontId="8" fillId="3" borderId="16" xfId="0" applyFont="1" applyFill="1" applyBorder="1" applyAlignment="1">
      <alignment horizontal="center"/>
    </xf>
    <xf numFmtId="165" fontId="8" fillId="4" borderId="4" xfId="0" applyNumberFormat="1" applyFont="1" applyFill="1" applyBorder="1"/>
    <xf numFmtId="0" fontId="6" fillId="27" borderId="16" xfId="0" applyFont="1" applyFill="1" applyBorder="1" applyAlignment="1">
      <alignment horizontal="center"/>
    </xf>
    <xf numFmtId="0" fontId="6" fillId="27" borderId="4" xfId="0" applyFont="1" applyFill="1" applyBorder="1" applyAlignment="1">
      <alignment horizontal="center"/>
    </xf>
    <xf numFmtId="165" fontId="8" fillId="26" borderId="4" xfId="0" applyNumberFormat="1" applyFont="1" applyFill="1" applyBorder="1"/>
    <xf numFmtId="0" fontId="6" fillId="29" borderId="16" xfId="0" applyFont="1" applyFill="1" applyBorder="1" applyAlignment="1">
      <alignment horizontal="center"/>
    </xf>
    <xf numFmtId="0" fontId="6" fillId="29" borderId="4" xfId="0" applyFont="1" applyFill="1" applyBorder="1" applyAlignment="1">
      <alignment horizontal="center"/>
    </xf>
    <xf numFmtId="0" fontId="8" fillId="29" borderId="16" xfId="0" applyFont="1" applyFill="1" applyBorder="1" applyAlignment="1">
      <alignment horizontal="center"/>
    </xf>
    <xf numFmtId="165" fontId="8" fillId="30" borderId="4" xfId="0" applyNumberFormat="1" applyFont="1" applyFill="1" applyBorder="1"/>
    <xf numFmtId="0" fontId="8" fillId="3" borderId="1" xfId="0" applyFont="1" applyFill="1" applyBorder="1" applyAlignment="1">
      <alignment horizontal="center"/>
    </xf>
    <xf numFmtId="0" fontId="6" fillId="32" borderId="16" xfId="0" applyFont="1" applyFill="1" applyBorder="1" applyAlignment="1">
      <alignment horizontal="center"/>
    </xf>
    <xf numFmtId="0" fontId="6" fillId="32" borderId="4" xfId="0" applyFont="1" applyFill="1" applyBorder="1" applyAlignment="1">
      <alignment horizontal="center"/>
    </xf>
    <xf numFmtId="165" fontId="8" fillId="12" borderId="16" xfId="0" applyNumberFormat="1" applyFont="1" applyFill="1" applyBorder="1"/>
    <xf numFmtId="165" fontId="8" fillId="12" borderId="4" xfId="0" applyNumberFormat="1" applyFont="1" applyFill="1" applyBorder="1"/>
    <xf numFmtId="0" fontId="8" fillId="13" borderId="19" xfId="0" applyFont="1" applyFill="1" applyBorder="1"/>
    <xf numFmtId="0" fontId="8" fillId="13" borderId="16" xfId="0" applyFont="1" applyFill="1" applyBorder="1"/>
    <xf numFmtId="0" fontId="8" fillId="25" borderId="16" xfId="0" applyFont="1" applyFill="1" applyBorder="1"/>
    <xf numFmtId="0" fontId="6" fillId="31" borderId="16" xfId="0" applyFont="1" applyFill="1" applyBorder="1"/>
    <xf numFmtId="0" fontId="8" fillId="15" borderId="16" xfId="0" applyFont="1" applyFill="1" applyBorder="1"/>
    <xf numFmtId="0" fontId="8" fillId="6" borderId="16" xfId="0" applyFont="1" applyFill="1" applyBorder="1"/>
    <xf numFmtId="0" fontId="8" fillId="4" borderId="20" xfId="0" applyFont="1" applyFill="1" applyBorder="1"/>
    <xf numFmtId="0" fontId="10" fillId="10" borderId="18" xfId="0" applyFont="1" applyFill="1" applyBorder="1"/>
    <xf numFmtId="0" fontId="8" fillId="22" borderId="19" xfId="0" applyFont="1" applyFill="1" applyBorder="1"/>
    <xf numFmtId="0" fontId="8" fillId="22" borderId="16" xfId="0" applyFont="1" applyFill="1" applyBorder="1"/>
    <xf numFmtId="0" fontId="8" fillId="24" borderId="16" xfId="0" applyFont="1" applyFill="1" applyBorder="1"/>
    <xf numFmtId="0" fontId="10" fillId="11" borderId="18" xfId="0" applyFont="1" applyFill="1" applyBorder="1"/>
    <xf numFmtId="0" fontId="8" fillId="17" borderId="19" xfId="0" applyFont="1" applyFill="1" applyBorder="1"/>
    <xf numFmtId="0" fontId="8" fillId="17" borderId="16" xfId="0" applyFont="1" applyFill="1" applyBorder="1"/>
    <xf numFmtId="0" fontId="10" fillId="8" borderId="18" xfId="0" applyFont="1" applyFill="1" applyBorder="1"/>
    <xf numFmtId="0" fontId="8" fillId="14" borderId="19" xfId="0" applyFont="1" applyFill="1" applyBorder="1"/>
    <xf numFmtId="0" fontId="8" fillId="14" borderId="16" xfId="0" applyFont="1" applyFill="1" applyBorder="1"/>
    <xf numFmtId="0" fontId="8" fillId="28" borderId="16" xfId="0" applyFont="1" applyFill="1" applyBorder="1"/>
    <xf numFmtId="0" fontId="6" fillId="19" borderId="16" xfId="0" applyFont="1" applyFill="1" applyBorder="1"/>
    <xf numFmtId="0" fontId="8" fillId="20" borderId="16" xfId="0" applyFont="1" applyFill="1" applyBorder="1"/>
    <xf numFmtId="0" fontId="8" fillId="19" borderId="16" xfId="0" applyFont="1" applyFill="1" applyBorder="1"/>
    <xf numFmtId="0" fontId="8" fillId="3" borderId="16" xfId="0" applyFont="1" applyFill="1" applyBorder="1"/>
    <xf numFmtId="0" fontId="6" fillId="21" borderId="16" xfId="0" applyFont="1" applyFill="1" applyBorder="1"/>
    <xf numFmtId="0" fontId="8" fillId="18" borderId="16" xfId="0" applyFont="1" applyFill="1" applyBorder="1"/>
    <xf numFmtId="0" fontId="8" fillId="21" borderId="16" xfId="0" applyFont="1" applyFill="1" applyBorder="1"/>
    <xf numFmtId="0" fontId="10" fillId="26" borderId="18" xfId="0" applyFont="1" applyFill="1" applyBorder="1"/>
    <xf numFmtId="0" fontId="8" fillId="27" borderId="19" xfId="0" applyFont="1" applyFill="1" applyBorder="1"/>
    <xf numFmtId="0" fontId="8" fillId="27" borderId="16" xfId="0" applyFont="1" applyFill="1" applyBorder="1"/>
    <xf numFmtId="0" fontId="10" fillId="30" borderId="18" xfId="0" applyFont="1" applyFill="1" applyBorder="1"/>
    <xf numFmtId="0" fontId="8" fillId="29" borderId="19" xfId="0" applyFont="1" applyFill="1" applyBorder="1"/>
    <xf numFmtId="0" fontId="10" fillId="12" borderId="18" xfId="0" applyFont="1" applyFill="1" applyBorder="1"/>
    <xf numFmtId="0" fontId="8" fillId="16" borderId="19" xfId="0" applyFont="1" applyFill="1" applyBorder="1"/>
    <xf numFmtId="0" fontId="8" fillId="16" borderId="16" xfId="0" applyFont="1" applyFill="1" applyBorder="1"/>
    <xf numFmtId="0" fontId="9" fillId="0" borderId="22" xfId="0" applyFont="1" applyBorder="1"/>
    <xf numFmtId="164" fontId="8" fillId="13" borderId="4" xfId="0" applyNumberFormat="1" applyFont="1" applyFill="1" applyBorder="1" applyAlignment="1">
      <alignment horizontal="center"/>
    </xf>
    <xf numFmtId="164" fontId="8" fillId="25" borderId="4" xfId="0" applyNumberFormat="1" applyFont="1" applyFill="1" applyBorder="1" applyAlignment="1">
      <alignment horizontal="center"/>
    </xf>
    <xf numFmtId="164" fontId="6" fillId="31" borderId="4" xfId="0" applyNumberFormat="1" applyFont="1" applyFill="1" applyBorder="1" applyAlignment="1">
      <alignment horizontal="center"/>
    </xf>
    <xf numFmtId="164" fontId="8" fillId="15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6" fillId="24" borderId="3" xfId="0" applyNumberFormat="1" applyFont="1" applyFill="1" applyBorder="1" applyAlignment="1">
      <alignment horizontal="center"/>
    </xf>
    <xf numFmtId="164" fontId="8" fillId="22" borderId="4" xfId="0" applyNumberFormat="1" applyFont="1" applyFill="1" applyBorder="1" applyAlignment="1">
      <alignment horizontal="center"/>
    </xf>
    <xf numFmtId="164" fontId="8" fillId="24" borderId="4" xfId="0" applyNumberFormat="1" applyFont="1" applyFill="1" applyBorder="1" applyAlignment="1">
      <alignment horizontal="center"/>
    </xf>
    <xf numFmtId="164" fontId="6" fillId="23" borderId="3" xfId="0" applyNumberFormat="1" applyFont="1" applyFill="1" applyBorder="1" applyAlignment="1">
      <alignment horizontal="center"/>
    </xf>
    <xf numFmtId="164" fontId="8" fillId="17" borderId="4" xfId="0" applyNumberFormat="1" applyFont="1" applyFill="1" applyBorder="1" applyAlignment="1">
      <alignment horizontal="center"/>
    </xf>
    <xf numFmtId="164" fontId="8" fillId="23" borderId="4" xfId="0" applyNumberFormat="1" applyFont="1" applyFill="1" applyBorder="1" applyAlignment="1">
      <alignment horizontal="center"/>
    </xf>
    <xf numFmtId="164" fontId="6" fillId="28" borderId="3" xfId="0" applyNumberFormat="1" applyFont="1" applyFill="1" applyBorder="1" applyAlignment="1">
      <alignment horizontal="center"/>
    </xf>
    <xf numFmtId="164" fontId="8" fillId="14" borderId="4" xfId="0" applyNumberFormat="1" applyFont="1" applyFill="1" applyBorder="1" applyAlignment="1">
      <alignment horizontal="center"/>
    </xf>
    <xf numFmtId="164" fontId="8" fillId="28" borderId="4" xfId="0" applyNumberFormat="1" applyFont="1" applyFill="1" applyBorder="1" applyAlignment="1">
      <alignment horizontal="center"/>
    </xf>
    <xf numFmtId="164" fontId="6" fillId="19" borderId="4" xfId="0" applyNumberFormat="1" applyFont="1" applyFill="1" applyBorder="1" applyAlignment="1">
      <alignment horizontal="center"/>
    </xf>
    <xf numFmtId="164" fontId="8" fillId="20" borderId="4" xfId="0" applyNumberFormat="1" applyFont="1" applyFill="1" applyBorder="1" applyAlignment="1">
      <alignment horizontal="center"/>
    </xf>
    <xf numFmtId="164" fontId="8" fillId="19" borderId="4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164" fontId="6" fillId="21" borderId="4" xfId="0" applyNumberFormat="1" applyFont="1" applyFill="1" applyBorder="1" applyAlignment="1">
      <alignment horizontal="center"/>
    </xf>
    <xf numFmtId="164" fontId="8" fillId="18" borderId="4" xfId="0" applyNumberFormat="1" applyFont="1" applyFill="1" applyBorder="1" applyAlignment="1">
      <alignment horizontal="center"/>
    </xf>
    <xf numFmtId="164" fontId="8" fillId="21" borderId="4" xfId="0" applyNumberFormat="1" applyFont="1" applyFill="1" applyBorder="1" applyAlignment="1">
      <alignment horizontal="center"/>
    </xf>
    <xf numFmtId="164" fontId="6" fillId="27" borderId="3" xfId="0" applyNumberFormat="1" applyFont="1" applyFill="1" applyBorder="1" applyAlignment="1">
      <alignment horizontal="center"/>
    </xf>
    <xf numFmtId="164" fontId="8" fillId="27" borderId="4" xfId="0" applyNumberFormat="1" applyFont="1" applyFill="1" applyBorder="1" applyAlignment="1">
      <alignment horizontal="center"/>
    </xf>
    <xf numFmtId="164" fontId="6" fillId="29" borderId="3" xfId="0" applyNumberFormat="1" applyFont="1" applyFill="1" applyBorder="1" applyAlignment="1">
      <alignment horizontal="center"/>
    </xf>
    <xf numFmtId="164" fontId="8" fillId="29" borderId="4" xfId="0" applyNumberFormat="1" applyFont="1" applyFill="1" applyBorder="1" applyAlignment="1">
      <alignment horizontal="center"/>
    </xf>
    <xf numFmtId="164" fontId="6" fillId="32" borderId="3" xfId="0" applyNumberFormat="1" applyFont="1" applyFill="1" applyBorder="1" applyAlignment="1">
      <alignment horizontal="center"/>
    </xf>
    <xf numFmtId="164" fontId="8" fillId="16" borderId="4" xfId="0" applyNumberFormat="1" applyFont="1" applyFill="1" applyBorder="1" applyAlignment="1">
      <alignment horizontal="center"/>
    </xf>
    <xf numFmtId="164" fontId="8" fillId="0" borderId="23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165" fontId="8" fillId="6" borderId="14" xfId="0" applyNumberFormat="1" applyFont="1" applyFill="1" applyBorder="1"/>
    <xf numFmtId="165" fontId="0" fillId="0" borderId="20" xfId="0" applyNumberFormat="1" applyBorder="1"/>
    <xf numFmtId="165" fontId="0" fillId="0" borderId="21" xfId="0" applyNumberFormat="1" applyBorder="1"/>
    <xf numFmtId="165" fontId="0" fillId="0" borderId="22" xfId="0" applyNumberFormat="1" applyBorder="1"/>
    <xf numFmtId="165" fontId="0" fillId="0" borderId="24" xfId="0" applyNumberFormat="1" applyBorder="1"/>
    <xf numFmtId="0" fontId="11" fillId="0" borderId="0" xfId="0" applyFont="1" applyAlignment="1">
      <alignment horizontal="center" vertical="center"/>
    </xf>
    <xf numFmtId="0" fontId="0" fillId="4" borderId="20" xfId="0" applyFill="1" applyBorder="1"/>
    <xf numFmtId="0" fontId="11" fillId="0" borderId="23" xfId="0" applyFont="1" applyBorder="1" applyAlignment="1">
      <alignment horizontal="center" vertical="center"/>
    </xf>
    <xf numFmtId="0" fontId="6" fillId="21" borderId="35" xfId="0" applyFont="1" applyFill="1" applyBorder="1" applyAlignment="1">
      <alignment horizontal="center"/>
    </xf>
    <xf numFmtId="0" fontId="10" fillId="9" borderId="38" xfId="0" applyFont="1" applyFill="1" applyBorder="1"/>
    <xf numFmtId="164" fontId="6" fillId="25" borderId="6" xfId="0" applyNumberFormat="1" applyFont="1" applyFill="1" applyBorder="1" applyAlignment="1">
      <alignment horizontal="center"/>
    </xf>
    <xf numFmtId="0" fontId="6" fillId="25" borderId="19" xfId="0" applyFont="1" applyFill="1" applyBorder="1" applyAlignment="1">
      <alignment horizontal="center"/>
    </xf>
    <xf numFmtId="0" fontId="6" fillId="25" borderId="37" xfId="0" applyFont="1" applyFill="1" applyBorder="1" applyAlignment="1">
      <alignment horizontal="center"/>
    </xf>
    <xf numFmtId="0" fontId="7" fillId="34" borderId="36" xfId="0" applyFont="1" applyFill="1" applyBorder="1" applyAlignment="1">
      <alignment vertical="center"/>
    </xf>
    <xf numFmtId="165" fontId="15" fillId="0" borderId="20" xfId="0" applyNumberFormat="1" applyFont="1" applyBorder="1" applyAlignment="1">
      <alignment horizontal="center" vertical="center"/>
    </xf>
    <xf numFmtId="165" fontId="15" fillId="0" borderId="20" xfId="0" applyNumberFormat="1" applyFont="1" applyBorder="1" applyAlignment="1">
      <alignment vertical="center"/>
    </xf>
    <xf numFmtId="165" fontId="0" fillId="8" borderId="0" xfId="0" applyNumberFormat="1" applyFill="1"/>
    <xf numFmtId="165" fontId="0" fillId="0" borderId="23" xfId="0" applyNumberFormat="1" applyBorder="1"/>
    <xf numFmtId="165" fontId="0" fillId="0" borderId="22" xfId="0" applyNumberFormat="1" applyBorder="1" applyAlignment="1">
      <alignment horizontal="center" vertical="center"/>
    </xf>
    <xf numFmtId="4" fontId="8" fillId="18" borderId="1" xfId="0" applyNumberFormat="1" applyFont="1" applyFill="1" applyBorder="1" applyAlignment="1">
      <alignment horizontal="center" vertical="center"/>
    </xf>
    <xf numFmtId="0" fontId="6" fillId="21" borderId="40" xfId="0" applyFont="1" applyFill="1" applyBorder="1" applyAlignment="1">
      <alignment horizontal="center"/>
    </xf>
    <xf numFmtId="44" fontId="8" fillId="27" borderId="16" xfId="1" applyFont="1" applyFill="1" applyBorder="1" applyAlignment="1">
      <alignment horizontal="center"/>
    </xf>
    <xf numFmtId="165" fontId="15" fillId="0" borderId="0" xfId="0" applyNumberFormat="1" applyFont="1" applyAlignment="1">
      <alignment horizontal="center" vertical="center"/>
    </xf>
    <xf numFmtId="165" fontId="0" fillId="9" borderId="34" xfId="0" applyNumberFormat="1" applyFill="1" applyBorder="1"/>
    <xf numFmtId="165" fontId="15" fillId="9" borderId="34" xfId="0" applyNumberFormat="1" applyFont="1" applyFill="1" applyBorder="1" applyAlignment="1">
      <alignment horizontal="center" vertical="center"/>
    </xf>
    <xf numFmtId="165" fontId="15" fillId="9" borderId="34" xfId="0" applyNumberFormat="1" applyFont="1" applyFill="1" applyBorder="1" applyAlignment="1">
      <alignment vertical="center"/>
    </xf>
    <xf numFmtId="165" fontId="0" fillId="6" borderId="34" xfId="0" applyNumberFormat="1" applyFill="1" applyBorder="1"/>
    <xf numFmtId="165" fontId="15" fillId="6" borderId="34" xfId="0" applyNumberFormat="1" applyFont="1" applyFill="1" applyBorder="1" applyAlignment="1">
      <alignment horizontal="center" vertical="center"/>
    </xf>
    <xf numFmtId="165" fontId="15" fillId="6" borderId="34" xfId="0" applyNumberFormat="1" applyFont="1" applyFill="1" applyBorder="1" applyAlignment="1">
      <alignment vertical="center"/>
    </xf>
    <xf numFmtId="165" fontId="0" fillId="10" borderId="34" xfId="0" applyNumberFormat="1" applyFill="1" applyBorder="1"/>
    <xf numFmtId="165" fontId="15" fillId="10" borderId="34" xfId="0" applyNumberFormat="1" applyFont="1" applyFill="1" applyBorder="1" applyAlignment="1">
      <alignment horizontal="center" vertical="center"/>
    </xf>
    <xf numFmtId="165" fontId="15" fillId="10" borderId="34" xfId="0" applyNumberFormat="1" applyFont="1" applyFill="1" applyBorder="1"/>
    <xf numFmtId="165" fontId="0" fillId="11" borderId="34" xfId="0" applyNumberFormat="1" applyFill="1" applyBorder="1"/>
    <xf numFmtId="165" fontId="15" fillId="11" borderId="34" xfId="0" applyNumberFormat="1" applyFont="1" applyFill="1" applyBorder="1" applyAlignment="1">
      <alignment horizontal="center" vertical="center"/>
    </xf>
    <xf numFmtId="165" fontId="0" fillId="8" borderId="34" xfId="0" applyNumberFormat="1" applyFill="1" applyBorder="1"/>
    <xf numFmtId="165" fontId="15" fillId="8" borderId="34" xfId="0" applyNumberFormat="1" applyFont="1" applyFill="1" applyBorder="1" applyAlignment="1">
      <alignment horizontal="center" vertical="center"/>
    </xf>
    <xf numFmtId="165" fontId="15" fillId="8" borderId="34" xfId="0" applyNumberFormat="1" applyFont="1" applyFill="1" applyBorder="1"/>
    <xf numFmtId="165" fontId="0" fillId="5" borderId="34" xfId="0" applyNumberFormat="1" applyFill="1" applyBorder="1"/>
    <xf numFmtId="165" fontId="15" fillId="5" borderId="34" xfId="0" applyNumberFormat="1" applyFont="1" applyFill="1" applyBorder="1" applyAlignment="1">
      <alignment horizontal="center" vertical="center"/>
    </xf>
    <xf numFmtId="165" fontId="15" fillId="5" borderId="34" xfId="0" applyNumberFormat="1" applyFont="1" applyFill="1" applyBorder="1" applyAlignment="1">
      <alignment vertical="center"/>
    </xf>
    <xf numFmtId="165" fontId="0" fillId="7" borderId="34" xfId="0" applyNumberFormat="1" applyFill="1" applyBorder="1"/>
    <xf numFmtId="165" fontId="15" fillId="7" borderId="34" xfId="0" applyNumberFormat="1" applyFont="1" applyFill="1" applyBorder="1" applyAlignment="1">
      <alignment horizontal="center" vertical="center"/>
    </xf>
    <xf numFmtId="165" fontId="15" fillId="7" borderId="34" xfId="0" applyNumberFormat="1" applyFont="1" applyFill="1" applyBorder="1" applyAlignment="1">
      <alignment vertical="center"/>
    </xf>
    <xf numFmtId="165" fontId="0" fillId="7" borderId="34" xfId="0" applyNumberFormat="1" applyFill="1" applyBorder="1" applyAlignment="1">
      <alignment wrapText="1"/>
    </xf>
    <xf numFmtId="165" fontId="0" fillId="26" borderId="34" xfId="0" applyNumberFormat="1" applyFill="1" applyBorder="1"/>
    <xf numFmtId="165" fontId="15" fillId="26" borderId="34" xfId="0" applyNumberFormat="1" applyFont="1" applyFill="1" applyBorder="1" applyAlignment="1">
      <alignment horizontal="center" vertical="center"/>
    </xf>
    <xf numFmtId="165" fontId="15" fillId="26" borderId="34" xfId="0" applyNumberFormat="1" applyFont="1" applyFill="1" applyBorder="1"/>
    <xf numFmtId="165" fontId="0" fillId="0" borderId="34" xfId="0" applyNumberFormat="1" applyBorder="1"/>
    <xf numFmtId="165" fontId="15" fillId="0" borderId="34" xfId="0" applyNumberFormat="1" applyFont="1" applyBorder="1" applyAlignment="1">
      <alignment horizontal="center" vertical="center"/>
    </xf>
    <xf numFmtId="165" fontId="15" fillId="0" borderId="34" xfId="0" applyNumberFormat="1" applyFont="1" applyBorder="1" applyAlignment="1">
      <alignment vertical="center"/>
    </xf>
    <xf numFmtId="165" fontId="0" fillId="12" borderId="34" xfId="0" applyNumberFormat="1" applyFill="1" applyBorder="1"/>
    <xf numFmtId="165" fontId="15" fillId="12" borderId="34" xfId="0" applyNumberFormat="1" applyFont="1" applyFill="1" applyBorder="1" applyAlignment="1">
      <alignment horizontal="center" vertical="center"/>
    </xf>
    <xf numFmtId="165" fontId="15" fillId="12" borderId="34" xfId="0" applyNumberFormat="1" applyFont="1" applyFill="1" applyBorder="1"/>
    <xf numFmtId="165" fontId="0" fillId="30" borderId="34" xfId="0" applyNumberFormat="1" applyFill="1" applyBorder="1"/>
    <xf numFmtId="165" fontId="15" fillId="30" borderId="34" xfId="0" applyNumberFormat="1" applyFont="1" applyFill="1" applyBorder="1" applyAlignment="1">
      <alignment horizontal="center" vertical="center"/>
    </xf>
    <xf numFmtId="165" fontId="15" fillId="30" borderId="34" xfId="0" applyNumberFormat="1" applyFont="1" applyFill="1" applyBorder="1"/>
    <xf numFmtId="4" fontId="6" fillId="25" borderId="5" xfId="0" applyNumberFormat="1" applyFont="1" applyFill="1" applyBorder="1" applyAlignment="1">
      <alignment horizontal="center" vertical="center"/>
    </xf>
    <xf numFmtId="4" fontId="8" fillId="13" borderId="1" xfId="0" applyNumberFormat="1" applyFont="1" applyFill="1" applyBorder="1" applyAlignment="1">
      <alignment horizontal="center" vertical="center"/>
    </xf>
    <xf numFmtId="4" fontId="8" fillId="25" borderId="1" xfId="0" applyNumberFormat="1" applyFont="1" applyFill="1" applyBorder="1" applyAlignment="1">
      <alignment horizontal="center" vertical="center"/>
    </xf>
    <xf numFmtId="4" fontId="6" fillId="31" borderId="1" xfId="0" applyNumberFormat="1" applyFont="1" applyFill="1" applyBorder="1" applyAlignment="1">
      <alignment horizontal="center" vertical="center"/>
    </xf>
    <xf numFmtId="4" fontId="8" fillId="15" borderId="0" xfId="0" applyNumberFormat="1" applyFont="1" applyFill="1" applyAlignment="1">
      <alignment horizontal="center" vertical="center"/>
    </xf>
    <xf numFmtId="4" fontId="8" fillId="15" borderId="1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" fontId="6" fillId="24" borderId="1" xfId="0" applyNumberFormat="1" applyFont="1" applyFill="1" applyBorder="1" applyAlignment="1">
      <alignment horizontal="center" vertical="center"/>
    </xf>
    <xf numFmtId="4" fontId="8" fillId="22" borderId="1" xfId="0" applyNumberFormat="1" applyFont="1" applyFill="1" applyBorder="1" applyAlignment="1">
      <alignment horizontal="center" vertical="center"/>
    </xf>
    <xf numFmtId="4" fontId="8" fillId="24" borderId="1" xfId="0" applyNumberFormat="1" applyFont="1" applyFill="1" applyBorder="1" applyAlignment="1">
      <alignment horizontal="center" vertical="center"/>
    </xf>
    <xf numFmtId="4" fontId="6" fillId="23" borderId="1" xfId="0" applyNumberFormat="1" applyFont="1" applyFill="1" applyBorder="1" applyAlignment="1">
      <alignment horizontal="center" vertical="center"/>
    </xf>
    <xf numFmtId="4" fontId="8" fillId="17" borderId="1" xfId="0" applyNumberFormat="1" applyFont="1" applyFill="1" applyBorder="1" applyAlignment="1">
      <alignment horizontal="center" vertical="center"/>
    </xf>
    <xf numFmtId="4" fontId="8" fillId="23" borderId="1" xfId="0" applyNumberFormat="1" applyFont="1" applyFill="1" applyBorder="1" applyAlignment="1">
      <alignment horizontal="center" vertical="center"/>
    </xf>
    <xf numFmtId="4" fontId="6" fillId="28" borderId="1" xfId="0" applyNumberFormat="1" applyFont="1" applyFill="1" applyBorder="1" applyAlignment="1">
      <alignment horizontal="center" vertical="center"/>
    </xf>
    <xf numFmtId="4" fontId="8" fillId="14" borderId="1" xfId="0" applyNumberFormat="1" applyFont="1" applyFill="1" applyBorder="1" applyAlignment="1">
      <alignment horizontal="center" vertical="center"/>
    </xf>
    <xf numFmtId="4" fontId="8" fillId="28" borderId="1" xfId="0" applyNumberFormat="1" applyFont="1" applyFill="1" applyBorder="1" applyAlignment="1">
      <alignment horizontal="center" vertical="center"/>
    </xf>
    <xf numFmtId="4" fontId="6" fillId="19" borderId="1" xfId="0" applyNumberFormat="1" applyFont="1" applyFill="1" applyBorder="1" applyAlignment="1">
      <alignment horizontal="center" vertical="center"/>
    </xf>
    <xf numFmtId="4" fontId="8" fillId="20" borderId="1" xfId="0" applyNumberFormat="1" applyFont="1" applyFill="1" applyBorder="1" applyAlignment="1">
      <alignment horizontal="center" vertical="center"/>
    </xf>
    <xf numFmtId="4" fontId="8" fillId="19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6" fillId="21" borderId="1" xfId="0" applyNumberFormat="1" applyFont="1" applyFill="1" applyBorder="1" applyAlignment="1">
      <alignment horizontal="center" vertical="center"/>
    </xf>
    <xf numFmtId="4" fontId="8" fillId="21" borderId="1" xfId="0" applyNumberFormat="1" applyFont="1" applyFill="1" applyBorder="1" applyAlignment="1">
      <alignment horizontal="center" vertical="center"/>
    </xf>
    <xf numFmtId="4" fontId="6" fillId="27" borderId="1" xfId="0" applyNumberFormat="1" applyFont="1" applyFill="1" applyBorder="1" applyAlignment="1">
      <alignment horizontal="center" vertical="center"/>
    </xf>
    <xf numFmtId="4" fontId="8" fillId="27" borderId="1" xfId="0" applyNumberFormat="1" applyFont="1" applyFill="1" applyBorder="1" applyAlignment="1">
      <alignment horizontal="center" vertical="center"/>
    </xf>
    <xf numFmtId="4" fontId="6" fillId="29" borderId="1" xfId="0" applyNumberFormat="1" applyFont="1" applyFill="1" applyBorder="1" applyAlignment="1">
      <alignment horizontal="center" vertical="center"/>
    </xf>
    <xf numFmtId="4" fontId="8" fillId="29" borderId="1" xfId="0" applyNumberFormat="1" applyFont="1" applyFill="1" applyBorder="1" applyAlignment="1">
      <alignment horizontal="center" vertical="center"/>
    </xf>
    <xf numFmtId="4" fontId="6" fillId="32" borderId="1" xfId="0" applyNumberFormat="1" applyFont="1" applyFill="1" applyBorder="1" applyAlignment="1">
      <alignment horizontal="center" vertical="center"/>
    </xf>
    <xf numFmtId="4" fontId="8" fillId="16" borderId="1" xfId="0" applyNumberFormat="1" applyFont="1" applyFill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165" fontId="0" fillId="9" borderId="41" xfId="0" applyNumberFormat="1" applyFill="1" applyBorder="1"/>
    <xf numFmtId="165" fontId="0" fillId="6" borderId="41" xfId="0" applyNumberFormat="1" applyFill="1" applyBorder="1"/>
    <xf numFmtId="165" fontId="0" fillId="10" borderId="41" xfId="0" applyNumberFormat="1" applyFill="1" applyBorder="1"/>
    <xf numFmtId="165" fontId="0" fillId="11" borderId="41" xfId="0" applyNumberFormat="1" applyFill="1" applyBorder="1"/>
    <xf numFmtId="165" fontId="0" fillId="8" borderId="41" xfId="0" applyNumberFormat="1" applyFill="1" applyBorder="1"/>
    <xf numFmtId="165" fontId="0" fillId="5" borderId="41" xfId="0" applyNumberFormat="1" applyFill="1" applyBorder="1"/>
    <xf numFmtId="165" fontId="0" fillId="7" borderId="41" xfId="0" applyNumberFormat="1" applyFill="1" applyBorder="1"/>
    <xf numFmtId="165" fontId="0" fillId="26" borderId="41" xfId="0" applyNumberFormat="1" applyFill="1" applyBorder="1"/>
    <xf numFmtId="165" fontId="0" fillId="30" borderId="41" xfId="0" applyNumberFormat="1" applyFill="1" applyBorder="1"/>
    <xf numFmtId="165" fontId="0" fillId="0" borderId="41" xfId="0" applyNumberFormat="1" applyBorder="1"/>
    <xf numFmtId="165" fontId="0" fillId="12" borderId="41" xfId="0" applyNumberFormat="1" applyFill="1" applyBorder="1"/>
    <xf numFmtId="0" fontId="6" fillId="25" borderId="39" xfId="0" applyFont="1" applyFill="1" applyBorder="1" applyAlignment="1">
      <alignment horizontal="center"/>
    </xf>
    <xf numFmtId="165" fontId="8" fillId="9" borderId="17" xfId="0" applyNumberFormat="1" applyFont="1" applyFill="1" applyBorder="1"/>
    <xf numFmtId="165" fontId="9" fillId="9" borderId="42" xfId="0" applyNumberFormat="1" applyFont="1" applyFill="1" applyBorder="1"/>
    <xf numFmtId="0" fontId="6" fillId="31" borderId="39" xfId="0" applyFont="1" applyFill="1" applyBorder="1" applyAlignment="1">
      <alignment horizontal="center"/>
    </xf>
    <xf numFmtId="165" fontId="8" fillId="6" borderId="17" xfId="0" applyNumberFormat="1" applyFont="1" applyFill="1" applyBorder="1"/>
    <xf numFmtId="165" fontId="8" fillId="6" borderId="43" xfId="0" applyNumberFormat="1" applyFont="1" applyFill="1" applyBorder="1"/>
    <xf numFmtId="165" fontId="8" fillId="6" borderId="42" xfId="0" applyNumberFormat="1" applyFont="1" applyFill="1" applyBorder="1"/>
    <xf numFmtId="0" fontId="6" fillId="24" borderId="39" xfId="0" applyFont="1" applyFill="1" applyBorder="1" applyAlignment="1">
      <alignment horizontal="center"/>
    </xf>
    <xf numFmtId="165" fontId="8" fillId="10" borderId="17" xfId="0" applyNumberFormat="1" applyFont="1" applyFill="1" applyBorder="1"/>
    <xf numFmtId="165" fontId="9" fillId="10" borderId="42" xfId="0" applyNumberFormat="1" applyFont="1" applyFill="1" applyBorder="1"/>
    <xf numFmtId="0" fontId="6" fillId="23" borderId="39" xfId="0" applyFont="1" applyFill="1" applyBorder="1" applyAlignment="1">
      <alignment horizontal="center"/>
    </xf>
    <xf numFmtId="165" fontId="8" fillId="11" borderId="17" xfId="0" applyNumberFormat="1" applyFont="1" applyFill="1" applyBorder="1"/>
    <xf numFmtId="165" fontId="9" fillId="11" borderId="42" xfId="0" applyNumberFormat="1" applyFont="1" applyFill="1" applyBorder="1"/>
    <xf numFmtId="0" fontId="6" fillId="28" borderId="39" xfId="0" applyFont="1" applyFill="1" applyBorder="1" applyAlignment="1">
      <alignment horizontal="center"/>
    </xf>
    <xf numFmtId="165" fontId="8" fillId="8" borderId="17" xfId="0" applyNumberFormat="1" applyFont="1" applyFill="1" applyBorder="1"/>
    <xf numFmtId="165" fontId="8" fillId="8" borderId="43" xfId="0" applyNumberFormat="1" applyFont="1" applyFill="1" applyBorder="1"/>
    <xf numFmtId="165" fontId="9" fillId="8" borderId="42" xfId="0" applyNumberFormat="1" applyFont="1" applyFill="1" applyBorder="1"/>
    <xf numFmtId="0" fontId="6" fillId="19" borderId="17" xfId="0" applyFont="1" applyFill="1" applyBorder="1" applyAlignment="1">
      <alignment horizontal="center"/>
    </xf>
    <xf numFmtId="165" fontId="8" fillId="5" borderId="17" xfId="0" applyNumberFormat="1" applyFont="1" applyFill="1" applyBorder="1"/>
    <xf numFmtId="0" fontId="6" fillId="21" borderId="17" xfId="0" applyFont="1" applyFill="1" applyBorder="1" applyAlignment="1">
      <alignment horizontal="center"/>
    </xf>
    <xf numFmtId="165" fontId="8" fillId="7" borderId="11" xfId="0" applyNumberFormat="1" applyFont="1" applyFill="1" applyBorder="1"/>
    <xf numFmtId="165" fontId="9" fillId="7" borderId="42" xfId="0" applyNumberFormat="1" applyFont="1" applyFill="1" applyBorder="1"/>
    <xf numFmtId="0" fontId="6" fillId="27" borderId="39" xfId="0" applyFont="1" applyFill="1" applyBorder="1" applyAlignment="1">
      <alignment horizontal="center"/>
    </xf>
    <xf numFmtId="165" fontId="8" fillId="26" borderId="17" xfId="0" applyNumberFormat="1" applyFont="1" applyFill="1" applyBorder="1"/>
    <xf numFmtId="165" fontId="8" fillId="26" borderId="43" xfId="0" applyNumberFormat="1" applyFont="1" applyFill="1" applyBorder="1"/>
    <xf numFmtId="165" fontId="9" fillId="26" borderId="42" xfId="0" applyNumberFormat="1" applyFont="1" applyFill="1" applyBorder="1"/>
    <xf numFmtId="0" fontId="6" fillId="29" borderId="39" xfId="0" applyFont="1" applyFill="1" applyBorder="1" applyAlignment="1">
      <alignment horizontal="center"/>
    </xf>
    <xf numFmtId="165" fontId="8" fillId="30" borderId="43" xfId="0" applyNumberFormat="1" applyFont="1" applyFill="1" applyBorder="1"/>
    <xf numFmtId="165" fontId="8" fillId="29" borderId="42" xfId="0" applyNumberFormat="1" applyFont="1" applyFill="1" applyBorder="1" applyAlignment="1">
      <alignment horizontal="center"/>
    </xf>
    <xf numFmtId="0" fontId="6" fillId="32" borderId="39" xfId="0" applyFont="1" applyFill="1" applyBorder="1" applyAlignment="1">
      <alignment horizontal="center"/>
    </xf>
    <xf numFmtId="165" fontId="8" fillId="12" borderId="17" xfId="0" applyNumberFormat="1" applyFont="1" applyFill="1" applyBorder="1"/>
    <xf numFmtId="165" fontId="9" fillId="12" borderId="44" xfId="0" applyNumberFormat="1" applyFont="1" applyFill="1" applyBorder="1"/>
    <xf numFmtId="165" fontId="15" fillId="8" borderId="0" xfId="0" applyNumberFormat="1" applyFont="1" applyFill="1" applyAlignment="1">
      <alignment horizontal="center" vertical="center"/>
    </xf>
    <xf numFmtId="165" fontId="15" fillId="8" borderId="0" xfId="0" applyNumberFormat="1" applyFont="1" applyFill="1"/>
    <xf numFmtId="44" fontId="8" fillId="28" borderId="16" xfId="1" applyFont="1" applyFill="1" applyBorder="1" applyAlignment="1">
      <alignment horizontal="center"/>
    </xf>
    <xf numFmtId="44" fontId="8" fillId="24" borderId="16" xfId="1" applyFont="1" applyFill="1" applyBorder="1" applyAlignment="1">
      <alignment horizontal="center"/>
    </xf>
    <xf numFmtId="44" fontId="8" fillId="25" borderId="16" xfId="1" applyFont="1" applyFill="1" applyBorder="1" applyAlignment="1">
      <alignment horizontal="center"/>
    </xf>
    <xf numFmtId="0" fontId="4" fillId="0" borderId="0" xfId="0" applyFont="1"/>
    <xf numFmtId="164" fontId="8" fillId="13" borderId="34" xfId="0" applyNumberFormat="1" applyFont="1" applyFill="1" applyBorder="1" applyAlignment="1">
      <alignment horizontal="center"/>
    </xf>
    <xf numFmtId="4" fontId="8" fillId="13" borderId="34" xfId="0" applyNumberFormat="1" applyFont="1" applyFill="1" applyBorder="1" applyAlignment="1">
      <alignment horizontal="center" vertical="center"/>
    </xf>
    <xf numFmtId="164" fontId="8" fillId="16" borderId="34" xfId="0" applyNumberFormat="1" applyFont="1" applyFill="1" applyBorder="1" applyAlignment="1">
      <alignment horizontal="center"/>
    </xf>
    <xf numFmtId="4" fontId="8" fillId="16" borderId="34" xfId="0" applyNumberFormat="1" applyFont="1" applyFill="1" applyBorder="1" applyAlignment="1">
      <alignment horizontal="center" vertical="center"/>
    </xf>
    <xf numFmtId="164" fontId="8" fillId="14" borderId="34" xfId="0" applyNumberFormat="1" applyFont="1" applyFill="1" applyBorder="1" applyAlignment="1">
      <alignment horizontal="center"/>
    </xf>
    <xf numFmtId="4" fontId="8" fillId="14" borderId="34" xfId="0" applyNumberFormat="1" applyFont="1" applyFill="1" applyBorder="1" applyAlignment="1">
      <alignment horizontal="center" vertical="center"/>
    </xf>
    <xf numFmtId="164" fontId="8" fillId="17" borderId="34" xfId="0" applyNumberFormat="1" applyFont="1" applyFill="1" applyBorder="1" applyAlignment="1">
      <alignment horizontal="center"/>
    </xf>
    <xf numFmtId="4" fontId="8" fillId="17" borderId="34" xfId="0" applyNumberFormat="1" applyFont="1" applyFill="1" applyBorder="1" applyAlignment="1">
      <alignment horizontal="center" vertical="center"/>
    </xf>
    <xf numFmtId="164" fontId="8" fillId="25" borderId="34" xfId="0" applyNumberFormat="1" applyFont="1" applyFill="1" applyBorder="1" applyAlignment="1">
      <alignment horizontal="center"/>
    </xf>
    <xf numFmtId="4" fontId="8" fillId="25" borderId="34" xfId="0" applyNumberFormat="1" applyFont="1" applyFill="1" applyBorder="1" applyAlignment="1">
      <alignment horizontal="center" vertical="center"/>
    </xf>
    <xf numFmtId="164" fontId="8" fillId="19" borderId="34" xfId="0" applyNumberFormat="1" applyFont="1" applyFill="1" applyBorder="1" applyAlignment="1">
      <alignment horizontal="center"/>
    </xf>
    <xf numFmtId="4" fontId="8" fillId="19" borderId="34" xfId="0" applyNumberFormat="1" applyFont="1" applyFill="1" applyBorder="1" applyAlignment="1">
      <alignment horizontal="center" vertical="center"/>
    </xf>
    <xf numFmtId="164" fontId="8" fillId="18" borderId="34" xfId="0" applyNumberFormat="1" applyFont="1" applyFill="1" applyBorder="1" applyAlignment="1">
      <alignment horizontal="center"/>
    </xf>
    <xf numFmtId="4" fontId="8" fillId="18" borderId="34" xfId="0" applyNumberFormat="1" applyFont="1" applyFill="1" applyBorder="1" applyAlignment="1">
      <alignment horizontal="center" vertical="center"/>
    </xf>
    <xf numFmtId="164" fontId="8" fillId="28" borderId="34" xfId="0" applyNumberFormat="1" applyFont="1" applyFill="1" applyBorder="1" applyAlignment="1">
      <alignment horizontal="center"/>
    </xf>
    <xf numFmtId="4" fontId="8" fillId="28" borderId="34" xfId="0" applyNumberFormat="1" applyFont="1" applyFill="1" applyBorder="1" applyAlignment="1">
      <alignment horizontal="center" vertical="center"/>
    </xf>
    <xf numFmtId="164" fontId="8" fillId="23" borderId="34" xfId="0" applyNumberFormat="1" applyFont="1" applyFill="1" applyBorder="1" applyAlignment="1">
      <alignment horizontal="center"/>
    </xf>
    <xf numFmtId="164" fontId="8" fillId="22" borderId="34" xfId="0" applyNumberFormat="1" applyFont="1" applyFill="1" applyBorder="1" applyAlignment="1">
      <alignment horizontal="center"/>
    </xf>
    <xf numFmtId="4" fontId="8" fillId="22" borderId="34" xfId="0" applyNumberFormat="1" applyFont="1" applyFill="1" applyBorder="1" applyAlignment="1">
      <alignment horizontal="center" vertical="center"/>
    </xf>
    <xf numFmtId="164" fontId="8" fillId="20" borderId="34" xfId="0" applyNumberFormat="1" applyFont="1" applyFill="1" applyBorder="1" applyAlignment="1">
      <alignment horizontal="center"/>
    </xf>
    <xf numFmtId="4" fontId="8" fillId="20" borderId="34" xfId="0" applyNumberFormat="1" applyFont="1" applyFill="1" applyBorder="1" applyAlignment="1">
      <alignment horizontal="center" vertical="center"/>
    </xf>
    <xf numFmtId="164" fontId="8" fillId="27" borderId="34" xfId="0" applyNumberFormat="1" applyFont="1" applyFill="1" applyBorder="1" applyAlignment="1">
      <alignment horizontal="center"/>
    </xf>
    <xf numFmtId="4" fontId="8" fillId="27" borderId="34" xfId="0" applyNumberFormat="1" applyFont="1" applyFill="1" applyBorder="1" applyAlignment="1">
      <alignment horizontal="center" vertical="center"/>
    </xf>
    <xf numFmtId="164" fontId="8" fillId="29" borderId="34" xfId="0" applyNumberFormat="1" applyFont="1" applyFill="1" applyBorder="1" applyAlignment="1">
      <alignment horizontal="center"/>
    </xf>
    <xf numFmtId="4" fontId="8" fillId="29" borderId="34" xfId="0" applyNumberFormat="1" applyFont="1" applyFill="1" applyBorder="1" applyAlignment="1">
      <alignment horizontal="center" vertical="center"/>
    </xf>
    <xf numFmtId="164" fontId="8" fillId="24" borderId="34" xfId="0" applyNumberFormat="1" applyFont="1" applyFill="1" applyBorder="1" applyAlignment="1">
      <alignment horizontal="center"/>
    </xf>
    <xf numFmtId="4" fontId="8" fillId="24" borderId="34" xfId="0" applyNumberFormat="1" applyFont="1" applyFill="1" applyBorder="1" applyAlignment="1">
      <alignment horizontal="center" vertical="center"/>
    </xf>
    <xf numFmtId="4" fontId="8" fillId="23" borderId="34" xfId="0" applyNumberFormat="1" applyFont="1" applyFill="1" applyBorder="1" applyAlignment="1">
      <alignment horizontal="center" vertical="center"/>
    </xf>
    <xf numFmtId="164" fontId="8" fillId="21" borderId="34" xfId="0" applyNumberFormat="1" applyFont="1" applyFill="1" applyBorder="1" applyAlignment="1">
      <alignment horizontal="center"/>
    </xf>
    <xf numFmtId="4" fontId="8" fillId="21" borderId="34" xfId="0" applyNumberFormat="1" applyFont="1" applyFill="1" applyBorder="1" applyAlignment="1">
      <alignment horizontal="center" vertical="center"/>
    </xf>
    <xf numFmtId="164" fontId="8" fillId="15" borderId="34" xfId="0" applyNumberFormat="1" applyFont="1" applyFill="1" applyBorder="1" applyAlignment="1">
      <alignment horizontal="center"/>
    </xf>
    <xf numFmtId="4" fontId="8" fillId="15" borderId="34" xfId="0" applyNumberFormat="1" applyFont="1" applyFill="1" applyBorder="1" applyAlignment="1">
      <alignment horizontal="center" vertical="center"/>
    </xf>
    <xf numFmtId="164" fontId="8" fillId="6" borderId="34" xfId="0" applyNumberFormat="1" applyFont="1" applyFill="1" applyBorder="1" applyAlignment="1">
      <alignment horizontal="center"/>
    </xf>
    <xf numFmtId="4" fontId="6" fillId="33" borderId="34" xfId="0" applyNumberFormat="1" applyFont="1" applyFill="1" applyBorder="1" applyAlignment="1">
      <alignment horizontal="center" vertical="center"/>
    </xf>
    <xf numFmtId="4" fontId="8" fillId="32" borderId="34" xfId="0" applyNumberFormat="1" applyFont="1" applyFill="1" applyBorder="1" applyAlignment="1">
      <alignment horizontal="center" vertical="center"/>
    </xf>
    <xf numFmtId="164" fontId="8" fillId="32" borderId="34" xfId="0" applyNumberFormat="1" applyFont="1" applyFill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0" fillId="34" borderId="21" xfId="0" applyFill="1" applyBorder="1"/>
    <xf numFmtId="0" fontId="0" fillId="0" borderId="0" xfId="0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0" fillId="34" borderId="20" xfId="0" applyFill="1" applyBorder="1"/>
    <xf numFmtId="0" fontId="0" fillId="34" borderId="0" xfId="0" applyFill="1"/>
    <xf numFmtId="0" fontId="4" fillId="0" borderId="20" xfId="0" applyFont="1" applyBorder="1"/>
    <xf numFmtId="0" fontId="4" fillId="0" borderId="21" xfId="0" applyFont="1" applyBorder="1"/>
    <xf numFmtId="0" fontId="0" fillId="4" borderId="0" xfId="0" applyFill="1"/>
    <xf numFmtId="165" fontId="8" fillId="9" borderId="14" xfId="0" applyNumberFormat="1" applyFont="1" applyFill="1" applyBorder="1"/>
    <xf numFmtId="165" fontId="8" fillId="8" borderId="14" xfId="0" applyNumberFormat="1" applyFont="1" applyFill="1" applyBorder="1"/>
    <xf numFmtId="165" fontId="8" fillId="11" borderId="14" xfId="0" applyNumberFormat="1" applyFont="1" applyFill="1" applyBorder="1"/>
    <xf numFmtId="165" fontId="8" fillId="12" borderId="14" xfId="0" applyNumberFormat="1" applyFont="1" applyFill="1" applyBorder="1"/>
    <xf numFmtId="165" fontId="8" fillId="5" borderId="14" xfId="0" applyNumberFormat="1" applyFont="1" applyFill="1" applyBorder="1"/>
    <xf numFmtId="165" fontId="8" fillId="7" borderId="14" xfId="0" applyNumberFormat="1" applyFont="1" applyFill="1" applyBorder="1"/>
    <xf numFmtId="165" fontId="8" fillId="10" borderId="14" xfId="0" applyNumberFormat="1" applyFont="1" applyFill="1" applyBorder="1"/>
    <xf numFmtId="165" fontId="8" fillId="26" borderId="14" xfId="0" applyNumberFormat="1" applyFont="1" applyFill="1" applyBorder="1"/>
    <xf numFmtId="165" fontId="8" fillId="30" borderId="14" xfId="0" applyNumberFormat="1" applyFont="1" applyFill="1" applyBorder="1"/>
    <xf numFmtId="165" fontId="16" fillId="0" borderId="27" xfId="0" applyNumberFormat="1" applyFont="1" applyBorder="1"/>
    <xf numFmtId="0" fontId="0" fillId="35" borderId="30" xfId="0" applyFill="1" applyBorder="1"/>
    <xf numFmtId="0" fontId="0" fillId="35" borderId="31" xfId="0" applyFill="1" applyBorder="1"/>
    <xf numFmtId="0" fontId="0" fillId="0" borderId="31" xfId="0" applyBorder="1"/>
    <xf numFmtId="0" fontId="0" fillId="0" borderId="30" xfId="0" applyBorder="1"/>
    <xf numFmtId="0" fontId="0" fillId="0" borderId="32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9" fillId="0" borderId="0" xfId="0" applyFont="1" applyAlignment="1">
      <alignment horizontal="center" wrapText="1"/>
    </xf>
    <xf numFmtId="164" fontId="8" fillId="13" borderId="34" xfId="0" applyNumberFormat="1" applyFont="1" applyFill="1" applyBorder="1" applyAlignment="1">
      <alignment horizontal="center" vertical="center"/>
    </xf>
    <xf numFmtId="165" fontId="8" fillId="9" borderId="14" xfId="0" applyNumberFormat="1" applyFont="1" applyFill="1" applyBorder="1" applyAlignment="1">
      <alignment vertical="center"/>
    </xf>
    <xf numFmtId="4" fontId="6" fillId="0" borderId="34" xfId="0" applyNumberFormat="1" applyFont="1" applyBorder="1" applyAlignment="1">
      <alignment horizontal="center" vertical="center"/>
    </xf>
    <xf numFmtId="0" fontId="8" fillId="0" borderId="34" xfId="0" applyFont="1" applyBorder="1"/>
    <xf numFmtId="164" fontId="8" fillId="0" borderId="34" xfId="0" applyNumberFormat="1" applyFont="1" applyBorder="1" applyAlignment="1">
      <alignment horizontal="center"/>
    </xf>
    <xf numFmtId="4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164" fontId="8" fillId="0" borderId="34" xfId="0" applyNumberFormat="1" applyFont="1" applyBorder="1" applyAlignment="1">
      <alignment horizontal="center" vertical="center"/>
    </xf>
    <xf numFmtId="0" fontId="9" fillId="0" borderId="34" xfId="0" applyFont="1" applyBorder="1"/>
    <xf numFmtId="164" fontId="6" fillId="0" borderId="34" xfId="0" applyNumberFormat="1" applyFont="1" applyBorder="1" applyAlignment="1">
      <alignment horizontal="center" wrapText="1"/>
    </xf>
    <xf numFmtId="4" fontId="8" fillId="12" borderId="34" xfId="0" applyNumberFormat="1" applyFont="1" applyFill="1" applyBorder="1" applyAlignment="1">
      <alignment horizontal="center" vertical="center"/>
    </xf>
    <xf numFmtId="4" fontId="8" fillId="10" borderId="34" xfId="0" applyNumberFormat="1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wrapText="1"/>
    </xf>
    <xf numFmtId="0" fontId="8" fillId="13" borderId="18" xfId="0" applyFont="1" applyFill="1" applyBorder="1"/>
    <xf numFmtId="0" fontId="8" fillId="13" borderId="18" xfId="0" applyFont="1" applyFill="1" applyBorder="1" applyAlignment="1">
      <alignment vertical="center"/>
    </xf>
    <xf numFmtId="0" fontId="8" fillId="14" borderId="18" xfId="0" applyFont="1" applyFill="1" applyBorder="1"/>
    <xf numFmtId="0" fontId="8" fillId="17" borderId="18" xfId="0" applyFont="1" applyFill="1" applyBorder="1"/>
    <xf numFmtId="0" fontId="9" fillId="12" borderId="18" xfId="0" applyFont="1" applyFill="1" applyBorder="1"/>
    <xf numFmtId="0" fontId="8" fillId="16" borderId="18" xfId="0" applyFont="1" applyFill="1" applyBorder="1"/>
    <xf numFmtId="0" fontId="8" fillId="19" borderId="18" xfId="0" applyFont="1" applyFill="1" applyBorder="1"/>
    <xf numFmtId="0" fontId="8" fillId="18" borderId="18" xfId="0" applyFont="1" applyFill="1" applyBorder="1"/>
    <xf numFmtId="0" fontId="8" fillId="25" borderId="18" xfId="0" applyFont="1" applyFill="1" applyBorder="1"/>
    <xf numFmtId="0" fontId="8" fillId="28" borderId="18" xfId="0" applyFont="1" applyFill="1" applyBorder="1"/>
    <xf numFmtId="0" fontId="8" fillId="22" borderId="18" xfId="0" applyFont="1" applyFill="1" applyBorder="1"/>
    <xf numFmtId="0" fontId="8" fillId="20" borderId="18" xfId="0" applyFont="1" applyFill="1" applyBorder="1"/>
    <xf numFmtId="0" fontId="8" fillId="27" borderId="18" xfId="0" applyFont="1" applyFill="1" applyBorder="1"/>
    <xf numFmtId="0" fontId="8" fillId="29" borderId="18" xfId="0" applyFont="1" applyFill="1" applyBorder="1"/>
    <xf numFmtId="0" fontId="9" fillId="7" borderId="18" xfId="0" applyFont="1" applyFill="1" applyBorder="1"/>
    <xf numFmtId="0" fontId="8" fillId="24" borderId="18" xfId="0" applyFont="1" applyFill="1" applyBorder="1"/>
    <xf numFmtId="0" fontId="9" fillId="26" borderId="18" xfId="0" applyFont="1" applyFill="1" applyBorder="1"/>
    <xf numFmtId="0" fontId="8" fillId="21" borderId="18" xfId="0" applyFont="1" applyFill="1" applyBorder="1"/>
    <xf numFmtId="0" fontId="9" fillId="9" borderId="18" xfId="0" applyFont="1" applyFill="1" applyBorder="1"/>
    <xf numFmtId="0" fontId="9" fillId="5" borderId="18" xfId="0" applyFont="1" applyFill="1" applyBorder="1"/>
    <xf numFmtId="0" fontId="9" fillId="6" borderId="18" xfId="0" applyFont="1" applyFill="1" applyBorder="1"/>
    <xf numFmtId="0" fontId="8" fillId="15" borderId="18" xfId="0" applyFont="1" applyFill="1" applyBorder="1"/>
    <xf numFmtId="0" fontId="8" fillId="6" borderId="18" xfId="0" applyFont="1" applyFill="1" applyBorder="1"/>
    <xf numFmtId="0" fontId="9" fillId="6" borderId="20" xfId="0" applyFont="1" applyFill="1" applyBorder="1"/>
    <xf numFmtId="165" fontId="0" fillId="7" borderId="20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21" xfId="0" applyFill="1" applyBorder="1" applyAlignment="1">
      <alignment horizontal="center"/>
    </xf>
    <xf numFmtId="165" fontId="0" fillId="10" borderId="0" xfId="0" applyNumberFormat="1" applyFill="1" applyAlignment="1">
      <alignment horizontal="center"/>
    </xf>
    <xf numFmtId="0" fontId="6" fillId="0" borderId="34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34" xfId="0" applyFont="1" applyBorder="1" applyAlignment="1">
      <alignment horizontal="center" wrapText="1"/>
    </xf>
    <xf numFmtId="44" fontId="8" fillId="27" borderId="14" xfId="1" applyFont="1" applyFill="1" applyBorder="1" applyAlignment="1">
      <alignment horizontal="center"/>
    </xf>
    <xf numFmtId="44" fontId="8" fillId="27" borderId="41" xfId="1" applyFont="1" applyFill="1" applyBorder="1" applyAlignment="1">
      <alignment horizontal="center"/>
    </xf>
    <xf numFmtId="0" fontId="10" fillId="34" borderId="46" xfId="0" applyFont="1" applyFill="1" applyBorder="1" applyAlignment="1">
      <alignment horizontal="left"/>
    </xf>
    <xf numFmtId="0" fontId="10" fillId="34" borderId="45" xfId="0" applyFont="1" applyFill="1" applyBorder="1" applyAlignment="1">
      <alignment horizontal="left"/>
    </xf>
    <xf numFmtId="0" fontId="10" fillId="34" borderId="47" xfId="0" applyFont="1" applyFill="1" applyBorder="1" applyAlignment="1">
      <alignment horizontal="left"/>
    </xf>
    <xf numFmtId="0" fontId="10" fillId="34" borderId="18" xfId="0" applyFont="1" applyFill="1" applyBorder="1" applyAlignment="1">
      <alignment horizontal="left"/>
    </xf>
    <xf numFmtId="0" fontId="10" fillId="34" borderId="34" xfId="0" applyFont="1" applyFill="1" applyBorder="1" applyAlignment="1">
      <alignment horizontal="left"/>
    </xf>
    <xf numFmtId="0" fontId="10" fillId="34" borderId="14" xfId="0" applyFont="1" applyFill="1" applyBorder="1" applyAlignment="1">
      <alignment horizontal="left"/>
    </xf>
    <xf numFmtId="165" fontId="8" fillId="9" borderId="14" xfId="0" applyNumberFormat="1" applyFont="1" applyFill="1" applyBorder="1" applyAlignment="1">
      <alignment horizontal="center"/>
    </xf>
    <xf numFmtId="165" fontId="8" fillId="9" borderId="41" xfId="0" applyNumberFormat="1" applyFont="1" applyFill="1" applyBorder="1" applyAlignment="1">
      <alignment horizontal="center"/>
    </xf>
    <xf numFmtId="165" fontId="8" fillId="9" borderId="14" xfId="0" applyNumberFormat="1" applyFont="1" applyFill="1" applyBorder="1" applyAlignment="1">
      <alignment horizontal="center" vertical="center"/>
    </xf>
    <xf numFmtId="165" fontId="8" fillId="9" borderId="41" xfId="0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34" borderId="30" xfId="0" applyFont="1" applyFill="1" applyBorder="1" applyAlignment="1">
      <alignment horizontal="left" vertical="center"/>
    </xf>
    <xf numFmtId="165" fontId="8" fillId="11" borderId="34" xfId="0" applyNumberFormat="1" applyFont="1" applyFill="1" applyBorder="1" applyAlignment="1">
      <alignment horizontal="center"/>
    </xf>
    <xf numFmtId="0" fontId="6" fillId="37" borderId="46" xfId="0" applyFont="1" applyFill="1" applyBorder="1" applyAlignment="1">
      <alignment horizontal="left"/>
    </xf>
    <xf numFmtId="0" fontId="6" fillId="37" borderId="45" xfId="0" applyFont="1" applyFill="1" applyBorder="1" applyAlignment="1">
      <alignment horizontal="left"/>
    </xf>
    <xf numFmtId="165" fontId="8" fillId="8" borderId="14" xfId="0" applyNumberFormat="1" applyFont="1" applyFill="1" applyBorder="1" applyAlignment="1">
      <alignment horizontal="center"/>
    </xf>
    <xf numFmtId="165" fontId="8" fillId="8" borderId="41" xfId="0" applyNumberFormat="1" applyFont="1" applyFill="1" applyBorder="1" applyAlignment="1">
      <alignment horizontal="center"/>
    </xf>
    <xf numFmtId="0" fontId="6" fillId="33" borderId="46" xfId="0" applyFont="1" applyFill="1" applyBorder="1" applyAlignment="1">
      <alignment horizontal="left"/>
    </xf>
    <xf numFmtId="0" fontId="6" fillId="33" borderId="45" xfId="0" applyFont="1" applyFill="1" applyBorder="1" applyAlignment="1">
      <alignment horizontal="left"/>
    </xf>
    <xf numFmtId="165" fontId="8" fillId="12" borderId="14" xfId="0" applyNumberFormat="1" applyFont="1" applyFill="1" applyBorder="1" applyAlignment="1">
      <alignment horizontal="center"/>
    </xf>
    <xf numFmtId="165" fontId="8" fillId="12" borderId="41" xfId="0" applyNumberFormat="1" applyFont="1" applyFill="1" applyBorder="1" applyAlignment="1">
      <alignment horizontal="center"/>
    </xf>
    <xf numFmtId="165" fontId="8" fillId="5" borderId="14" xfId="0" applyNumberFormat="1" applyFont="1" applyFill="1" applyBorder="1" applyAlignment="1">
      <alignment horizontal="center"/>
    </xf>
    <xf numFmtId="165" fontId="8" fillId="5" borderId="41" xfId="0" applyNumberFormat="1" applyFont="1" applyFill="1" applyBorder="1" applyAlignment="1">
      <alignment horizontal="center"/>
    </xf>
    <xf numFmtId="165" fontId="8" fillId="7" borderId="14" xfId="0" applyNumberFormat="1" applyFont="1" applyFill="1" applyBorder="1" applyAlignment="1">
      <alignment horizontal="center"/>
    </xf>
    <xf numFmtId="165" fontId="8" fillId="7" borderId="41" xfId="0" applyNumberFormat="1" applyFont="1" applyFill="1" applyBorder="1" applyAlignment="1">
      <alignment horizontal="center"/>
    </xf>
    <xf numFmtId="165" fontId="8" fillId="10" borderId="14" xfId="0" applyNumberFormat="1" applyFont="1" applyFill="1" applyBorder="1" applyAlignment="1">
      <alignment horizontal="center"/>
    </xf>
    <xf numFmtId="165" fontId="8" fillId="10" borderId="41" xfId="0" applyNumberFormat="1" applyFont="1" applyFill="1" applyBorder="1" applyAlignment="1">
      <alignment horizontal="center"/>
    </xf>
    <xf numFmtId="44" fontId="8" fillId="28" borderId="14" xfId="1" applyFont="1" applyFill="1" applyBorder="1" applyAlignment="1">
      <alignment horizontal="center"/>
    </xf>
    <xf numFmtId="44" fontId="8" fillId="28" borderId="41" xfId="1" applyFont="1" applyFill="1" applyBorder="1" applyAlignment="1">
      <alignment horizontal="center"/>
    </xf>
    <xf numFmtId="165" fontId="9" fillId="7" borderId="34" xfId="0" applyNumberFormat="1" applyFont="1" applyFill="1" applyBorder="1" applyAlignment="1">
      <alignment horizontal="center"/>
    </xf>
    <xf numFmtId="165" fontId="8" fillId="7" borderId="34" xfId="0" applyNumberFormat="1" applyFont="1" applyFill="1" applyBorder="1" applyAlignment="1">
      <alignment horizontal="center"/>
    </xf>
    <xf numFmtId="44" fontId="8" fillId="24" borderId="14" xfId="1" applyFont="1" applyFill="1" applyBorder="1" applyAlignment="1">
      <alignment horizontal="center"/>
    </xf>
    <xf numFmtId="44" fontId="8" fillId="24" borderId="41" xfId="1" applyFont="1" applyFill="1" applyBorder="1" applyAlignment="1">
      <alignment horizontal="center"/>
    </xf>
    <xf numFmtId="165" fontId="8" fillId="9" borderId="34" xfId="0" applyNumberFormat="1" applyFont="1" applyFill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165" fontId="8" fillId="6" borderId="14" xfId="0" applyNumberFormat="1" applyFont="1" applyFill="1" applyBorder="1" applyAlignment="1">
      <alignment horizontal="center"/>
    </xf>
    <xf numFmtId="165" fontId="8" fillId="6" borderId="41" xfId="0" applyNumberFormat="1" applyFont="1" applyFill="1" applyBorder="1" applyAlignment="1">
      <alignment horizontal="center"/>
    </xf>
    <xf numFmtId="165" fontId="0" fillId="9" borderId="20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21" xfId="0" applyFill="1" applyBorder="1" applyAlignment="1">
      <alignment horizontal="center"/>
    </xf>
    <xf numFmtId="165" fontId="0" fillId="9" borderId="0" xfId="0" applyNumberFormat="1" applyFill="1" applyAlignment="1">
      <alignment horizontal="center"/>
    </xf>
    <xf numFmtId="0" fontId="16" fillId="0" borderId="28" xfId="0" applyFont="1" applyBorder="1" applyAlignment="1">
      <alignment horizontal="center"/>
    </xf>
    <xf numFmtId="0" fontId="8" fillId="35" borderId="10" xfId="0" applyFont="1" applyFill="1" applyBorder="1" applyAlignment="1">
      <alignment horizontal="left" vertical="center"/>
    </xf>
    <xf numFmtId="0" fontId="8" fillId="35" borderId="2" xfId="0" applyFont="1" applyFill="1" applyBorder="1" applyAlignment="1">
      <alignment horizontal="left" vertical="center"/>
    </xf>
    <xf numFmtId="0" fontId="8" fillId="35" borderId="11" xfId="0" applyFont="1" applyFill="1" applyBorder="1" applyAlignment="1">
      <alignment horizontal="left" vertical="center"/>
    </xf>
    <xf numFmtId="0" fontId="6" fillId="36" borderId="7" xfId="0" applyFont="1" applyFill="1" applyBorder="1" applyAlignment="1">
      <alignment horizontal="center"/>
    </xf>
    <xf numFmtId="0" fontId="6" fillId="36" borderId="8" xfId="0" applyFont="1" applyFill="1" applyBorder="1" applyAlignment="1">
      <alignment horizontal="center"/>
    </xf>
    <xf numFmtId="165" fontId="12" fillId="11" borderId="0" xfId="0" applyNumberFormat="1" applyFont="1" applyFill="1" applyAlignment="1">
      <alignment horizontal="center"/>
    </xf>
    <xf numFmtId="0" fontId="12" fillId="11" borderId="0" xfId="0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165" fontId="0" fillId="1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12" borderId="20" xfId="0" applyNumberForma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2" borderId="21" xfId="0" applyFill="1" applyBorder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5" fontId="0" fillId="7" borderId="20" xfId="0" applyNumberForma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5" fontId="0" fillId="5" borderId="20" xfId="0" applyNumberForma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165" fontId="0" fillId="8" borderId="20" xfId="0" applyNumberFormat="1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165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165" fontId="0" fillId="26" borderId="0" xfId="0" applyNumberFormat="1" applyFill="1" applyAlignment="1">
      <alignment horizontal="center"/>
    </xf>
    <xf numFmtId="0" fontId="0" fillId="26" borderId="0" xfId="0" applyFill="1" applyAlignment="1">
      <alignment horizontal="center"/>
    </xf>
    <xf numFmtId="165" fontId="0" fillId="26" borderId="20" xfId="0" applyNumberFormat="1" applyFill="1" applyBorder="1" applyAlignment="1">
      <alignment horizontal="center"/>
    </xf>
    <xf numFmtId="0" fontId="0" fillId="26" borderId="21" xfId="0" applyFill="1" applyBorder="1" applyAlignment="1">
      <alignment horizontal="center"/>
    </xf>
    <xf numFmtId="165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165" fontId="0" fillId="30" borderId="20" xfId="0" applyNumberFormat="1" applyFill="1" applyBorder="1" applyAlignment="1">
      <alignment horizontal="center"/>
    </xf>
    <xf numFmtId="0" fontId="0" fillId="30" borderId="0" xfId="0" applyFill="1" applyAlignment="1">
      <alignment horizontal="center"/>
    </xf>
    <xf numFmtId="0" fontId="0" fillId="30" borderId="21" xfId="0" applyFill="1" applyBorder="1" applyAlignment="1">
      <alignment horizontal="center"/>
    </xf>
    <xf numFmtId="165" fontId="0" fillId="11" borderId="20" xfId="0" applyNumberFormat="1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165" fontId="0" fillId="10" borderId="20" xfId="0" applyNumberFormat="1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165" fontId="0" fillId="7" borderId="21" xfId="0" applyNumberFormat="1" applyFill="1" applyBorder="1" applyAlignment="1">
      <alignment horizontal="center"/>
    </xf>
    <xf numFmtId="165" fontId="0" fillId="9" borderId="21" xfId="0" applyNumberFormat="1" applyFill="1" applyBorder="1" applyAlignment="1">
      <alignment horizontal="center"/>
    </xf>
    <xf numFmtId="165" fontId="0" fillId="5" borderId="21" xfId="0" applyNumberFormat="1" applyFill="1" applyBorder="1" applyAlignment="1">
      <alignment horizontal="center"/>
    </xf>
    <xf numFmtId="165" fontId="16" fillId="0" borderId="26" xfId="0" applyNumberFormat="1" applyFont="1" applyBorder="1" applyAlignment="1">
      <alignment horizontal="center"/>
    </xf>
    <xf numFmtId="165" fontId="16" fillId="0" borderId="27" xfId="0" applyNumberFormat="1" applyFont="1" applyBorder="1" applyAlignment="1">
      <alignment horizontal="center"/>
    </xf>
    <xf numFmtId="165" fontId="16" fillId="0" borderId="28" xfId="0" applyNumberFormat="1" applyFont="1" applyBorder="1" applyAlignment="1">
      <alignment horizontal="center"/>
    </xf>
    <xf numFmtId="165" fontId="0" fillId="6" borderId="20" xfId="0" applyNumberForma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6" borderId="2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21" xfId="0" applyFill="1" applyBorder="1" applyAlignment="1">
      <alignment horizontal="center"/>
    </xf>
    <xf numFmtId="165" fontId="6" fillId="34" borderId="7" xfId="0" applyNumberFormat="1" applyFont="1" applyFill="1" applyBorder="1" applyAlignment="1">
      <alignment horizontal="center" vertical="center" wrapText="1"/>
    </xf>
    <xf numFmtId="165" fontId="6" fillId="34" borderId="9" xfId="0" applyNumberFormat="1" applyFont="1" applyFill="1" applyBorder="1" applyAlignment="1">
      <alignment horizontal="center" vertical="center" wrapText="1"/>
    </xf>
    <xf numFmtId="165" fontId="1" fillId="34" borderId="10" xfId="0" applyNumberFormat="1" applyFont="1" applyFill="1" applyBorder="1" applyAlignment="1">
      <alignment horizontal="center" vertical="center"/>
    </xf>
    <xf numFmtId="165" fontId="1" fillId="34" borderId="11" xfId="0" applyNumberFormat="1" applyFont="1" applyFill="1" applyBorder="1" applyAlignment="1">
      <alignment horizontal="center" vertical="center"/>
    </xf>
    <xf numFmtId="165" fontId="3" fillId="34" borderId="12" xfId="0" applyNumberFormat="1" applyFont="1" applyFill="1" applyBorder="1" applyAlignment="1">
      <alignment horizontal="center" vertical="center"/>
    </xf>
    <xf numFmtId="165" fontId="3" fillId="34" borderId="36" xfId="0" applyNumberFormat="1" applyFont="1" applyFill="1" applyBorder="1" applyAlignment="1">
      <alignment horizontal="center" vertical="center"/>
    </xf>
    <xf numFmtId="165" fontId="5" fillId="34" borderId="10" xfId="0" applyNumberFormat="1" applyFont="1" applyFill="1" applyBorder="1" applyAlignment="1">
      <alignment horizontal="center" vertical="center"/>
    </xf>
    <xf numFmtId="165" fontId="5" fillId="34" borderId="11" xfId="0" applyNumberFormat="1" applyFont="1" applyFill="1" applyBorder="1" applyAlignment="1">
      <alignment horizontal="center" vertical="center"/>
    </xf>
    <xf numFmtId="0" fontId="6" fillId="34" borderId="7" xfId="0" applyFont="1" applyFill="1" applyBorder="1" applyAlignment="1">
      <alignment horizontal="center" vertical="center"/>
    </xf>
    <xf numFmtId="0" fontId="6" fillId="34" borderId="8" xfId="0" applyFont="1" applyFill="1" applyBorder="1" applyAlignment="1">
      <alignment horizontal="center" vertical="center"/>
    </xf>
    <xf numFmtId="0" fontId="6" fillId="34" borderId="9" xfId="0" applyFont="1" applyFill="1" applyBorder="1" applyAlignment="1">
      <alignment horizontal="center" vertical="center"/>
    </xf>
    <xf numFmtId="0" fontId="1" fillId="33" borderId="30" xfId="0" applyFont="1" applyFill="1" applyBorder="1" applyAlignment="1">
      <alignment horizontal="center" vertical="center"/>
    </xf>
    <xf numFmtId="0" fontId="1" fillId="33" borderId="31" xfId="0" applyFont="1" applyFill="1" applyBorder="1" applyAlignment="1">
      <alignment horizontal="center" vertical="center"/>
    </xf>
    <xf numFmtId="0" fontId="1" fillId="33" borderId="22" xfId="0" applyFont="1" applyFill="1" applyBorder="1" applyAlignment="1">
      <alignment horizontal="center" vertical="center"/>
    </xf>
    <xf numFmtId="0" fontId="1" fillId="33" borderId="23" xfId="0" applyFont="1" applyFill="1" applyBorder="1" applyAlignment="1">
      <alignment horizontal="center" vertical="center"/>
    </xf>
    <xf numFmtId="0" fontId="13" fillId="33" borderId="26" xfId="0" applyFont="1" applyFill="1" applyBorder="1" applyAlignment="1">
      <alignment horizontal="center" vertical="center"/>
    </xf>
    <xf numFmtId="0" fontId="13" fillId="33" borderId="27" xfId="0" applyFont="1" applyFill="1" applyBorder="1" applyAlignment="1">
      <alignment horizontal="center" vertical="center"/>
    </xf>
    <xf numFmtId="0" fontId="13" fillId="33" borderId="28" xfId="0" applyFont="1" applyFill="1" applyBorder="1" applyAlignment="1">
      <alignment horizontal="center" vertical="center"/>
    </xf>
    <xf numFmtId="0" fontId="6" fillId="34" borderId="12" xfId="0" applyFont="1" applyFill="1" applyBorder="1" applyAlignment="1">
      <alignment horizontal="center" vertical="center"/>
    </xf>
    <xf numFmtId="0" fontId="6" fillId="34" borderId="13" xfId="0" applyFont="1" applyFill="1" applyBorder="1" applyAlignment="1">
      <alignment horizontal="center" vertical="center"/>
    </xf>
    <xf numFmtId="165" fontId="6" fillId="34" borderId="8" xfId="0" applyNumberFormat="1" applyFont="1" applyFill="1" applyBorder="1" applyAlignment="1">
      <alignment horizontal="center" vertical="center" wrapText="1"/>
    </xf>
    <xf numFmtId="165" fontId="1" fillId="34" borderId="2" xfId="0" applyNumberFormat="1" applyFont="1" applyFill="1" applyBorder="1" applyAlignment="1">
      <alignment horizontal="center" vertical="center"/>
    </xf>
    <xf numFmtId="165" fontId="3" fillId="34" borderId="13" xfId="0" applyNumberFormat="1" applyFont="1" applyFill="1" applyBorder="1" applyAlignment="1">
      <alignment horizontal="center" vertical="center"/>
    </xf>
    <xf numFmtId="165" fontId="0" fillId="0" borderId="22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5" fontId="8" fillId="11" borderId="10" xfId="0" applyNumberFormat="1" applyFont="1" applyFill="1" applyBorder="1" applyAlignment="1">
      <alignment horizontal="center"/>
    </xf>
    <xf numFmtId="165" fontId="8" fillId="11" borderId="3" xfId="0" applyNumberFormat="1" applyFont="1" applyFill="1" applyBorder="1" applyAlignment="1">
      <alignment horizontal="center"/>
    </xf>
    <xf numFmtId="165" fontId="9" fillId="7" borderId="18" xfId="0" applyNumberFormat="1" applyFont="1" applyFill="1" applyBorder="1" applyAlignment="1">
      <alignment horizontal="center"/>
    </xf>
    <xf numFmtId="165" fontId="8" fillId="7" borderId="18" xfId="0" applyNumberFormat="1" applyFont="1" applyFill="1" applyBorder="1" applyAlignment="1">
      <alignment horizontal="center"/>
    </xf>
    <xf numFmtId="165" fontId="8" fillId="7" borderId="25" xfId="0" applyNumberFormat="1" applyFont="1" applyFill="1" applyBorder="1" applyAlignment="1">
      <alignment horizontal="center"/>
    </xf>
    <xf numFmtId="165" fontId="8" fillId="7" borderId="6" xfId="0" applyNumberFormat="1" applyFont="1" applyFill="1" applyBorder="1" applyAlignment="1">
      <alignment horizontal="center"/>
    </xf>
    <xf numFmtId="165" fontId="8" fillId="7" borderId="10" xfId="0" applyNumberFormat="1" applyFont="1" applyFill="1" applyBorder="1" applyAlignment="1">
      <alignment horizontal="center"/>
    </xf>
    <xf numFmtId="165" fontId="8" fillId="7" borderId="3" xfId="0" applyNumberFormat="1" applyFont="1" applyFill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46" xfId="0" applyFont="1" applyFill="1" applyBorder="1" applyAlignment="1">
      <alignment horizontal="left"/>
    </xf>
    <xf numFmtId="0" fontId="6" fillId="0" borderId="45" xfId="0" applyFont="1" applyFill="1" applyBorder="1" applyAlignment="1">
      <alignment horizontal="left"/>
    </xf>
    <xf numFmtId="0" fontId="6" fillId="0" borderId="47" xfId="0" applyFont="1" applyFill="1" applyBorder="1" applyAlignment="1">
      <alignment horizontal="left"/>
    </xf>
    <xf numFmtId="0" fontId="8" fillId="0" borderId="18" xfId="0" applyFont="1" applyFill="1" applyBorder="1"/>
    <xf numFmtId="164" fontId="8" fillId="0" borderId="34" xfId="0" applyNumberFormat="1" applyFont="1" applyFill="1" applyBorder="1" applyAlignment="1">
      <alignment horizontal="center"/>
    </xf>
    <xf numFmtId="4" fontId="8" fillId="0" borderId="34" xfId="0" applyNumberFormat="1" applyFont="1" applyFill="1" applyBorder="1" applyAlignment="1">
      <alignment horizontal="center" vertical="center"/>
    </xf>
    <xf numFmtId="165" fontId="8" fillId="0" borderId="34" xfId="0" applyNumberFormat="1" applyFont="1" applyFill="1" applyBorder="1" applyAlignment="1">
      <alignment horizontal="center"/>
    </xf>
    <xf numFmtId="165" fontId="8" fillId="0" borderId="42" xfId="0" applyNumberFormat="1" applyFont="1" applyFill="1" applyBorder="1"/>
    <xf numFmtId="165" fontId="8" fillId="0" borderId="14" xfId="0" applyNumberFormat="1" applyFont="1" applyFill="1" applyBorder="1" applyAlignment="1">
      <alignment horizontal="center"/>
    </xf>
    <xf numFmtId="165" fontId="8" fillId="0" borderId="41" xfId="0" applyNumberFormat="1" applyFont="1" applyFill="1" applyBorder="1" applyAlignment="1">
      <alignment horizontal="center"/>
    </xf>
    <xf numFmtId="165" fontId="8" fillId="0" borderId="45" xfId="0" applyNumberFormat="1" applyFont="1" applyFill="1" applyBorder="1" applyAlignment="1">
      <alignment horizontal="center"/>
    </xf>
    <xf numFmtId="0" fontId="9" fillId="0" borderId="18" xfId="0" applyFont="1" applyFill="1" applyBorder="1"/>
    <xf numFmtId="0" fontId="10" fillId="0" borderId="46" xfId="0" applyFont="1" applyFill="1" applyBorder="1" applyAlignment="1">
      <alignment horizontal="left"/>
    </xf>
    <xf numFmtId="0" fontId="10" fillId="0" borderId="45" xfId="0" applyFont="1" applyFill="1" applyBorder="1" applyAlignment="1">
      <alignment horizontal="left"/>
    </xf>
    <xf numFmtId="0" fontId="10" fillId="0" borderId="47" xfId="0" applyFont="1" applyFill="1" applyBorder="1" applyAlignment="1">
      <alignment horizontal="left"/>
    </xf>
    <xf numFmtId="44" fontId="8" fillId="0" borderId="14" xfId="1" applyFont="1" applyFill="1" applyBorder="1" applyAlignment="1">
      <alignment horizontal="center"/>
    </xf>
    <xf numFmtId="44" fontId="8" fillId="0" borderId="41" xfId="1" applyFont="1" applyFill="1" applyBorder="1" applyAlignment="1">
      <alignment horizontal="center"/>
    </xf>
    <xf numFmtId="165" fontId="9" fillId="0" borderId="34" xfId="0" applyNumberFormat="1" applyFont="1" applyFill="1" applyBorder="1" applyAlignment="1">
      <alignment horizontal="center"/>
    </xf>
    <xf numFmtId="0" fontId="9" fillId="0" borderId="20" xfId="0" applyFont="1" applyFill="1" applyBorder="1"/>
    <xf numFmtId="0" fontId="16" fillId="0" borderId="26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165" fontId="16" fillId="0" borderId="28" xfId="0" applyNumberFormat="1" applyFont="1" applyFill="1" applyBorder="1"/>
    <xf numFmtId="165" fontId="8" fillId="0" borderId="42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wrapText="1"/>
    </xf>
    <xf numFmtId="0" fontId="8" fillId="0" borderId="18" xfId="0" applyFont="1" applyFill="1" applyBorder="1" applyAlignment="1">
      <alignment vertical="center"/>
    </xf>
    <xf numFmtId="164" fontId="8" fillId="0" borderId="34" xfId="0" applyNumberFormat="1" applyFont="1" applyFill="1" applyBorder="1" applyAlignment="1">
      <alignment horizontal="center" vertical="center"/>
    </xf>
    <xf numFmtId="165" fontId="8" fillId="0" borderId="14" xfId="0" applyNumberFormat="1" applyFont="1" applyFill="1" applyBorder="1" applyAlignment="1">
      <alignment horizontal="center" vertical="center"/>
    </xf>
    <xf numFmtId="165" fontId="8" fillId="0" borderId="41" xfId="0" applyNumberFormat="1" applyFont="1" applyFill="1" applyBorder="1" applyAlignment="1">
      <alignment horizontal="center" vertical="center"/>
    </xf>
    <xf numFmtId="10" fontId="16" fillId="0" borderId="27" xfId="0" applyNumberFormat="1" applyFont="1" applyFill="1" applyBorder="1" applyAlignment="1">
      <alignment horizontal="center"/>
    </xf>
    <xf numFmtId="44" fontId="9" fillId="0" borderId="51" xfId="1" applyFont="1" applyFill="1" applyBorder="1" applyAlignment="1">
      <alignment horizontal="center"/>
    </xf>
    <xf numFmtId="44" fontId="9" fillId="0" borderId="52" xfId="1" applyFont="1" applyFill="1" applyBorder="1" applyAlignment="1">
      <alignment horizontal="center"/>
    </xf>
    <xf numFmtId="0" fontId="6" fillId="33" borderId="54" xfId="0" applyFont="1" applyFill="1" applyBorder="1" applyAlignment="1">
      <alignment horizontal="center"/>
    </xf>
    <xf numFmtId="0" fontId="6" fillId="33" borderId="53" xfId="0" applyFont="1" applyFill="1" applyBorder="1" applyAlignment="1">
      <alignment horizontal="center" wrapText="1"/>
    </xf>
    <xf numFmtId="164" fontId="6" fillId="33" borderId="34" xfId="0" applyNumberFormat="1" applyFont="1" applyFill="1" applyBorder="1" applyAlignment="1">
      <alignment horizontal="center" vertical="center"/>
    </xf>
    <xf numFmtId="0" fontId="6" fillId="34" borderId="29" xfId="0" applyFont="1" applyFill="1" applyBorder="1" applyAlignment="1">
      <alignment vertical="center"/>
    </xf>
    <xf numFmtId="0" fontId="6" fillId="33" borderId="14" xfId="0" applyFont="1" applyFill="1" applyBorder="1" applyAlignment="1">
      <alignment horizontal="center" vertical="center"/>
    </xf>
    <xf numFmtId="44" fontId="8" fillId="25" borderId="14" xfId="1" applyFont="1" applyFill="1" applyBorder="1" applyAlignment="1">
      <alignment horizontal="center"/>
    </xf>
    <xf numFmtId="44" fontId="8" fillId="25" borderId="41" xfId="1" applyFont="1" applyFill="1" applyBorder="1" applyAlignment="1">
      <alignment horizontal="center"/>
    </xf>
    <xf numFmtId="44" fontId="8" fillId="29" borderId="14" xfId="1" applyFont="1" applyFill="1" applyBorder="1" applyAlignment="1">
      <alignment horizontal="right"/>
    </xf>
    <xf numFmtId="44" fontId="8" fillId="29" borderId="41" xfId="1" applyFont="1" applyFill="1" applyBorder="1" applyAlignment="1">
      <alignment horizontal="right"/>
    </xf>
    <xf numFmtId="44" fontId="9" fillId="6" borderId="51" xfId="1" applyFont="1" applyFill="1" applyBorder="1" applyAlignment="1">
      <alignment horizontal="center"/>
    </xf>
    <xf numFmtId="44" fontId="9" fillId="6" borderId="55" xfId="1" applyFont="1" applyFill="1" applyBorder="1" applyAlignment="1">
      <alignment horizontal="center"/>
    </xf>
    <xf numFmtId="0" fontId="8" fillId="0" borderId="46" xfId="0" applyFont="1" applyFill="1" applyBorder="1"/>
    <xf numFmtId="164" fontId="8" fillId="0" borderId="45" xfId="0" applyNumberFormat="1" applyFont="1" applyFill="1" applyBorder="1" applyAlignment="1">
      <alignment horizontal="center"/>
    </xf>
    <xf numFmtId="4" fontId="8" fillId="0" borderId="45" xfId="0" applyNumberFormat="1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/>
    </xf>
    <xf numFmtId="165" fontId="8" fillId="0" borderId="45" xfId="0" applyNumberFormat="1" applyFont="1" applyFill="1" applyBorder="1" applyAlignment="1">
      <alignment horizontal="center"/>
    </xf>
    <xf numFmtId="165" fontId="0" fillId="12" borderId="0" xfId="0" applyNumberFormat="1" applyFill="1" applyBorder="1" applyAlignment="1">
      <alignment horizontal="center"/>
    </xf>
    <xf numFmtId="165" fontId="0" fillId="12" borderId="21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0" fillId="34" borderId="49" xfId="0" applyFont="1" applyFill="1" applyBorder="1" applyAlignment="1"/>
    <xf numFmtId="0" fontId="10" fillId="34" borderId="48" xfId="0" applyFont="1" applyFill="1" applyBorder="1" applyAlignment="1"/>
    <xf numFmtId="0" fontId="10" fillId="34" borderId="50" xfId="0" applyFont="1" applyFill="1" applyBorder="1" applyAlignment="1"/>
    <xf numFmtId="164" fontId="6" fillId="33" borderId="56" xfId="0" applyNumberFormat="1" applyFont="1" applyFill="1" applyBorder="1" applyAlignment="1">
      <alignment horizontal="center" vertical="center"/>
    </xf>
    <xf numFmtId="4" fontId="6" fillId="33" borderId="56" xfId="0" applyNumberFormat="1" applyFont="1" applyFill="1" applyBorder="1" applyAlignment="1">
      <alignment horizontal="center" vertical="center"/>
    </xf>
    <xf numFmtId="0" fontId="6" fillId="33" borderId="56" xfId="0" applyFont="1" applyFill="1" applyBorder="1" applyAlignment="1">
      <alignment horizontal="center" vertical="center" wrapText="1"/>
    </xf>
    <xf numFmtId="0" fontId="6" fillId="34" borderId="22" xfId="0" applyFont="1" applyFill="1" applyBorder="1" applyAlignment="1">
      <alignment horizontal="left" vertical="center"/>
    </xf>
    <xf numFmtId="164" fontId="6" fillId="33" borderId="58" xfId="0" applyNumberFormat="1" applyFont="1" applyFill="1" applyBorder="1" applyAlignment="1">
      <alignment horizontal="center" vertical="center"/>
    </xf>
    <xf numFmtId="4" fontId="6" fillId="33" borderId="58" xfId="0" applyNumberFormat="1" applyFont="1" applyFill="1" applyBorder="1" applyAlignment="1">
      <alignment horizontal="center" vertical="center"/>
    </xf>
    <xf numFmtId="0" fontId="6" fillId="33" borderId="58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6" fillId="33" borderId="5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33" borderId="5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8" fillId="0" borderId="34" xfId="0" applyFont="1" applyFill="1" applyBorder="1"/>
    <xf numFmtId="164" fontId="8" fillId="0" borderId="34" xfId="0" applyNumberFormat="1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2787805</xdr:colOff>
      <xdr:row>2</xdr:row>
      <xdr:rowOff>4553414</xdr:rowOff>
    </xdr:from>
    <xdr:to>
      <xdr:col>1</xdr:col>
      <xdr:colOff>1505653</xdr:colOff>
      <xdr:row>2</xdr:row>
      <xdr:rowOff>4938859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F63EBE-A23D-EFC1-4EDC-881121B03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805" y="12433609"/>
          <a:ext cx="2933700" cy="385445"/>
        </a:xfrm>
        <a:prstGeom prst="rect">
          <a:avLst/>
        </a:prstGeom>
        <a:effectLst>
          <a:glow rad="127000">
            <a:schemeClr val="accent1">
              <a:alpha val="0"/>
            </a:schemeClr>
          </a:glow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046AD-E4CB-4B42-AA33-F06F5187C378}">
  <sheetPr>
    <outlinePr summaryBelow="0" summaryRight="0"/>
  </sheetPr>
  <dimension ref="A1:AZ1029"/>
  <sheetViews>
    <sheetView topLeftCell="A13" zoomScale="92" zoomScaleNormal="92" workbookViewId="0">
      <selection activeCell="D94" sqref="A1:D94"/>
    </sheetView>
  </sheetViews>
  <sheetFormatPr defaultColWidth="14.44140625" defaultRowHeight="15.75" customHeight="1" x14ac:dyDescent="0.25"/>
  <cols>
    <col min="1" max="1" width="61.33203125" style="7" customWidth="1"/>
    <col min="2" max="2" width="42.77734375" style="7" customWidth="1"/>
    <col min="3" max="3" width="8.6640625" style="7" customWidth="1"/>
    <col min="4" max="4" width="10.88671875" style="108" customWidth="1"/>
    <col min="5" max="52" width="2.21875" customWidth="1"/>
  </cols>
  <sheetData>
    <row r="1" spans="1:52" ht="210.6" customHeight="1" x14ac:dyDescent="0.25">
      <c r="A1" s="359" t="s">
        <v>162</v>
      </c>
      <c r="B1" s="360"/>
      <c r="C1" s="360"/>
      <c r="D1" s="360"/>
    </row>
    <row r="2" spans="1:52" ht="409.6" customHeight="1" x14ac:dyDescent="0.25">
      <c r="A2" s="360"/>
      <c r="B2" s="360"/>
      <c r="C2" s="360"/>
      <c r="D2" s="360"/>
    </row>
    <row r="3" spans="1:52" s="115" customFormat="1" ht="409.6" customHeight="1" x14ac:dyDescent="0.25">
      <c r="A3" s="361"/>
      <c r="B3" s="361"/>
      <c r="C3" s="361"/>
      <c r="D3" s="361"/>
    </row>
    <row r="4" spans="1:52" ht="36" customHeight="1" x14ac:dyDescent="0.25">
      <c r="A4" s="325" t="s">
        <v>142</v>
      </c>
      <c r="B4" s="326" t="s">
        <v>160</v>
      </c>
      <c r="C4" s="322" t="s">
        <v>159</v>
      </c>
      <c r="D4" s="315" t="s">
        <v>1</v>
      </c>
    </row>
    <row r="5" spans="1:52" ht="13.2" x14ac:dyDescent="0.25">
      <c r="A5" s="358" t="s">
        <v>108</v>
      </c>
      <c r="B5" s="358"/>
      <c r="C5" s="358"/>
      <c r="D5" s="358"/>
    </row>
    <row r="6" spans="1:52" ht="13.2" x14ac:dyDescent="0.25">
      <c r="A6" s="358" t="s">
        <v>109</v>
      </c>
      <c r="B6" s="358"/>
      <c r="C6" s="358"/>
      <c r="D6" s="358"/>
    </row>
    <row r="7" spans="1:52" ht="13.2" x14ac:dyDescent="0.25">
      <c r="A7" s="316" t="s">
        <v>111</v>
      </c>
      <c r="B7" s="362" t="s">
        <v>163</v>
      </c>
      <c r="C7" s="317" t="s">
        <v>151</v>
      </c>
      <c r="D7" s="318">
        <f>250.59*0.05</f>
        <v>12.529500000000001</v>
      </c>
    </row>
    <row r="8" spans="1:52" ht="21" customHeight="1" x14ac:dyDescent="0.25">
      <c r="A8" s="319" t="s">
        <v>9</v>
      </c>
      <c r="B8" s="362"/>
      <c r="C8" s="320" t="s">
        <v>4</v>
      </c>
      <c r="D8" s="318">
        <v>250.59</v>
      </c>
    </row>
    <row r="9" spans="1:52" ht="13.2" x14ac:dyDescent="0.25">
      <c r="A9" s="316" t="s">
        <v>13</v>
      </c>
      <c r="B9" s="316" t="s">
        <v>164</v>
      </c>
      <c r="C9" s="317" t="s">
        <v>0</v>
      </c>
      <c r="D9" s="318">
        <v>7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ht="13.2" x14ac:dyDescent="0.25">
      <c r="A10" s="316" t="s">
        <v>14</v>
      </c>
      <c r="B10" s="316" t="s">
        <v>165</v>
      </c>
      <c r="C10" s="317" t="s">
        <v>0</v>
      </c>
      <c r="D10" s="318">
        <v>2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spans="1:52" ht="13.2" x14ac:dyDescent="0.25">
      <c r="A11" s="357" t="s">
        <v>112</v>
      </c>
      <c r="B11" s="357"/>
      <c r="C11" s="357"/>
      <c r="D11" s="357"/>
    </row>
    <row r="12" spans="1:52" ht="13.2" x14ac:dyDescent="0.25">
      <c r="A12" s="316" t="s">
        <v>187</v>
      </c>
      <c r="B12" s="316" t="s">
        <v>188</v>
      </c>
      <c r="C12" s="317" t="s">
        <v>0</v>
      </c>
      <c r="D12" s="318">
        <v>1</v>
      </c>
    </row>
    <row r="13" spans="1:52" ht="13.2" x14ac:dyDescent="0.25">
      <c r="A13" s="316" t="s">
        <v>189</v>
      </c>
      <c r="B13" s="316" t="s">
        <v>190</v>
      </c>
      <c r="C13" s="317" t="s">
        <v>0</v>
      </c>
      <c r="D13" s="318">
        <v>1</v>
      </c>
    </row>
    <row r="14" spans="1:52" ht="13.2" x14ac:dyDescent="0.25">
      <c r="A14" s="357" t="s">
        <v>113</v>
      </c>
      <c r="B14" s="357"/>
      <c r="C14" s="357"/>
      <c r="D14" s="357"/>
    </row>
    <row r="15" spans="1:52" ht="13.2" x14ac:dyDescent="0.25">
      <c r="A15" s="316" t="s">
        <v>118</v>
      </c>
      <c r="B15" s="316" t="s">
        <v>166</v>
      </c>
      <c r="C15" s="317" t="s">
        <v>17</v>
      </c>
      <c r="D15" s="318">
        <f>5.2+5.25+6.2+6.2+5.35+6</f>
        <v>34.199999999999996</v>
      </c>
    </row>
    <row r="16" spans="1:52" ht="13.2" x14ac:dyDescent="0.25">
      <c r="A16" s="316" t="s">
        <v>119</v>
      </c>
      <c r="B16" s="316" t="s">
        <v>167</v>
      </c>
      <c r="C16" s="317" t="s">
        <v>17</v>
      </c>
      <c r="D16" s="318">
        <f>5.2+3</f>
        <v>8.1999999999999993</v>
      </c>
    </row>
    <row r="17" spans="1:4" ht="13.2" x14ac:dyDescent="0.25">
      <c r="A17" s="357" t="s">
        <v>114</v>
      </c>
      <c r="B17" s="357"/>
      <c r="C17" s="357"/>
      <c r="D17" s="357"/>
    </row>
    <row r="18" spans="1:4" ht="13.2" x14ac:dyDescent="0.25">
      <c r="A18" s="321" t="s">
        <v>152</v>
      </c>
      <c r="B18" s="321" t="s">
        <v>168</v>
      </c>
      <c r="C18" s="317" t="s">
        <v>0</v>
      </c>
      <c r="D18" s="318">
        <f>4*4</f>
        <v>16</v>
      </c>
    </row>
    <row r="19" spans="1:4" ht="13.2" x14ac:dyDescent="0.25">
      <c r="A19" s="316" t="s">
        <v>10</v>
      </c>
      <c r="B19" s="316" t="s">
        <v>169</v>
      </c>
      <c r="C19" s="317" t="s">
        <v>17</v>
      </c>
      <c r="D19" s="318">
        <f>6.2*12</f>
        <v>74.400000000000006</v>
      </c>
    </row>
    <row r="20" spans="1:4" ht="13.2" x14ac:dyDescent="0.25">
      <c r="A20" s="357" t="s">
        <v>110</v>
      </c>
      <c r="B20" s="357"/>
      <c r="C20" s="357"/>
      <c r="D20" s="357"/>
    </row>
    <row r="21" spans="1:4" ht="13.2" x14ac:dyDescent="0.25">
      <c r="A21" s="357" t="s">
        <v>154</v>
      </c>
      <c r="B21" s="357"/>
      <c r="C21" s="357"/>
      <c r="D21" s="357"/>
    </row>
    <row r="22" spans="1:4" ht="13.2" x14ac:dyDescent="0.25">
      <c r="A22" s="316" t="s">
        <v>191</v>
      </c>
      <c r="B22" s="316" t="s">
        <v>192</v>
      </c>
      <c r="C22" s="317" t="s">
        <v>0</v>
      </c>
      <c r="D22" s="318">
        <v>4</v>
      </c>
    </row>
    <row r="23" spans="1:4" ht="13.2" x14ac:dyDescent="0.25">
      <c r="A23" s="316" t="s">
        <v>115</v>
      </c>
      <c r="B23" s="316" t="s">
        <v>170</v>
      </c>
      <c r="C23" s="317" t="s">
        <v>4</v>
      </c>
      <c r="D23" s="318">
        <f>7.19*3*2</f>
        <v>43.14</v>
      </c>
    </row>
    <row r="24" spans="1:4" ht="13.2" x14ac:dyDescent="0.25">
      <c r="A24" s="316" t="s">
        <v>54</v>
      </c>
      <c r="B24" s="316" t="s">
        <v>170</v>
      </c>
      <c r="C24" s="317" t="s">
        <v>4</v>
      </c>
      <c r="D24" s="318">
        <f>7.19*3*2</f>
        <v>43.14</v>
      </c>
    </row>
    <row r="25" spans="1:4" ht="13.2" x14ac:dyDescent="0.25">
      <c r="A25" s="358" t="s">
        <v>117</v>
      </c>
      <c r="B25" s="358"/>
      <c r="C25" s="358"/>
      <c r="D25" s="358"/>
    </row>
    <row r="26" spans="1:4" ht="13.2" x14ac:dyDescent="0.25">
      <c r="A26" s="358" t="s">
        <v>155</v>
      </c>
      <c r="B26" s="358"/>
      <c r="C26" s="358"/>
      <c r="D26" s="358"/>
    </row>
    <row r="27" spans="1:4" ht="13.2" x14ac:dyDescent="0.25">
      <c r="A27" s="316" t="s">
        <v>22</v>
      </c>
      <c r="B27" s="316" t="s">
        <v>171</v>
      </c>
      <c r="C27" s="317" t="s">
        <v>0</v>
      </c>
      <c r="D27" s="318">
        <v>7</v>
      </c>
    </row>
    <row r="28" spans="1:4" ht="13.2" x14ac:dyDescent="0.25">
      <c r="A28" s="358" t="s">
        <v>156</v>
      </c>
      <c r="B28" s="358"/>
      <c r="C28" s="358"/>
      <c r="D28" s="358"/>
    </row>
    <row r="29" spans="1:4" ht="13.2" x14ac:dyDescent="0.25">
      <c r="A29" s="316" t="s">
        <v>161</v>
      </c>
      <c r="B29" s="316" t="s">
        <v>172</v>
      </c>
      <c r="C29" s="317" t="s">
        <v>0</v>
      </c>
      <c r="D29" s="318">
        <v>1</v>
      </c>
    </row>
    <row r="30" spans="1:4" ht="13.2" x14ac:dyDescent="0.25">
      <c r="A30" s="358" t="s">
        <v>157</v>
      </c>
      <c r="B30" s="358"/>
      <c r="C30" s="358"/>
      <c r="D30" s="358"/>
    </row>
    <row r="31" spans="1:4" ht="13.2" x14ac:dyDescent="0.25">
      <c r="A31" s="316" t="s">
        <v>115</v>
      </c>
      <c r="B31" s="316" t="s">
        <v>173</v>
      </c>
      <c r="C31" s="317" t="s">
        <v>4</v>
      </c>
      <c r="D31" s="318">
        <f>5.35*3*2</f>
        <v>32.099999999999994</v>
      </c>
    </row>
    <row r="32" spans="1:4" ht="13.2" x14ac:dyDescent="0.25">
      <c r="A32" s="316" t="s">
        <v>193</v>
      </c>
      <c r="B32" s="316" t="s">
        <v>194</v>
      </c>
      <c r="C32" s="317" t="s">
        <v>4</v>
      </c>
      <c r="D32" s="318">
        <f>5.35*3*2</f>
        <v>32.099999999999994</v>
      </c>
    </row>
    <row r="33" spans="1:4" ht="13.2" x14ac:dyDescent="0.25">
      <c r="A33" s="358" t="s">
        <v>143</v>
      </c>
      <c r="B33" s="358"/>
      <c r="C33" s="358"/>
      <c r="D33" s="358"/>
    </row>
    <row r="34" spans="1:4" ht="13.2" x14ac:dyDescent="0.25">
      <c r="A34" s="316" t="s">
        <v>31</v>
      </c>
      <c r="B34" s="316"/>
      <c r="C34" s="317" t="s">
        <v>4</v>
      </c>
      <c r="D34" s="318">
        <v>98.97</v>
      </c>
    </row>
    <row r="35" spans="1:4" ht="13.2" x14ac:dyDescent="0.25">
      <c r="A35" s="316" t="s">
        <v>27</v>
      </c>
      <c r="B35" s="316" t="s">
        <v>174</v>
      </c>
      <c r="C35" s="317" t="s">
        <v>0</v>
      </c>
      <c r="D35" s="318">
        <v>13</v>
      </c>
    </row>
    <row r="36" spans="1:4" ht="13.2" x14ac:dyDescent="0.25">
      <c r="A36" s="316" t="s">
        <v>106</v>
      </c>
      <c r="B36" s="316" t="s">
        <v>175</v>
      </c>
      <c r="C36" s="317" t="s">
        <v>0</v>
      </c>
      <c r="D36" s="318">
        <v>1</v>
      </c>
    </row>
    <row r="37" spans="1:4" ht="13.2" x14ac:dyDescent="0.25">
      <c r="A37" s="316" t="s">
        <v>176</v>
      </c>
      <c r="B37" s="316" t="s">
        <v>177</v>
      </c>
      <c r="C37" s="317" t="s">
        <v>17</v>
      </c>
      <c r="D37" s="318">
        <v>3.48</v>
      </c>
    </row>
    <row r="38" spans="1:4" ht="13.2" x14ac:dyDescent="0.25">
      <c r="A38" s="316" t="s">
        <v>245</v>
      </c>
      <c r="B38" s="316" t="s">
        <v>178</v>
      </c>
      <c r="C38" s="317" t="s">
        <v>4</v>
      </c>
      <c r="D38" s="318">
        <v>2.84</v>
      </c>
    </row>
    <row r="39" spans="1:4" ht="13.2" x14ac:dyDescent="0.25">
      <c r="A39" s="316" t="s">
        <v>19</v>
      </c>
      <c r="B39" s="316" t="s">
        <v>179</v>
      </c>
      <c r="C39" s="317" t="s">
        <v>0</v>
      </c>
      <c r="D39" s="318">
        <v>2</v>
      </c>
    </row>
    <row r="40" spans="1:4" ht="13.2" x14ac:dyDescent="0.25">
      <c r="A40" s="316" t="s">
        <v>20</v>
      </c>
      <c r="B40" s="316" t="s">
        <v>179</v>
      </c>
      <c r="C40" s="317" t="s">
        <v>0</v>
      </c>
      <c r="D40" s="318">
        <v>2</v>
      </c>
    </row>
    <row r="41" spans="1:4" ht="13.2" x14ac:dyDescent="0.25">
      <c r="A41" s="357" t="s">
        <v>144</v>
      </c>
      <c r="B41" s="357"/>
      <c r="C41" s="357"/>
      <c r="D41" s="357"/>
    </row>
    <row r="42" spans="1:4" ht="13.2" x14ac:dyDescent="0.25">
      <c r="A42" s="316" t="s">
        <v>28</v>
      </c>
      <c r="B42" s="316" t="s">
        <v>212</v>
      </c>
      <c r="C42" s="317" t="s">
        <v>0</v>
      </c>
      <c r="D42" s="318">
        <v>2</v>
      </c>
    </row>
    <row r="43" spans="1:4" ht="13.2" x14ac:dyDescent="0.25">
      <c r="A43" s="316" t="s">
        <v>29</v>
      </c>
      <c r="B43" s="316" t="s">
        <v>180</v>
      </c>
      <c r="C43" s="317" t="s">
        <v>0</v>
      </c>
      <c r="D43" s="318">
        <v>2</v>
      </c>
    </row>
    <row r="44" spans="1:4" ht="13.2" x14ac:dyDescent="0.25">
      <c r="A44" s="316" t="s">
        <v>43</v>
      </c>
      <c r="B44" s="316" t="s">
        <v>180</v>
      </c>
      <c r="C44" s="317" t="s">
        <v>0</v>
      </c>
      <c r="D44" s="318">
        <v>2</v>
      </c>
    </row>
    <row r="45" spans="1:4" ht="13.2" x14ac:dyDescent="0.25">
      <c r="A45" s="316" t="s">
        <v>153</v>
      </c>
      <c r="B45" s="316" t="s">
        <v>181</v>
      </c>
      <c r="C45" s="317" t="s">
        <v>4</v>
      </c>
      <c r="D45" s="318">
        <f>1.64*3</f>
        <v>4.92</v>
      </c>
    </row>
    <row r="46" spans="1:4" ht="13.2" x14ac:dyDescent="0.25">
      <c r="A46" s="321" t="s">
        <v>250</v>
      </c>
      <c r="B46" s="316" t="s">
        <v>253</v>
      </c>
      <c r="C46" s="317" t="s">
        <v>0</v>
      </c>
      <c r="D46" s="318">
        <v>1</v>
      </c>
    </row>
    <row r="47" spans="1:4" ht="13.2" x14ac:dyDescent="0.25">
      <c r="A47" s="358" t="s">
        <v>120</v>
      </c>
      <c r="B47" s="358"/>
      <c r="C47" s="358"/>
      <c r="D47" s="358"/>
    </row>
    <row r="48" spans="1:4" ht="13.2" x14ac:dyDescent="0.25">
      <c r="A48" s="321" t="s">
        <v>132</v>
      </c>
      <c r="B48" s="316" t="s">
        <v>179</v>
      </c>
      <c r="C48" s="317" t="s">
        <v>0</v>
      </c>
      <c r="D48" s="318">
        <v>1</v>
      </c>
    </row>
    <row r="49" spans="1:4" ht="13.2" x14ac:dyDescent="0.25">
      <c r="A49" s="316" t="s">
        <v>182</v>
      </c>
      <c r="B49" s="316" t="s">
        <v>183</v>
      </c>
      <c r="C49" s="317" t="s">
        <v>0</v>
      </c>
      <c r="D49" s="318">
        <v>1</v>
      </c>
    </row>
    <row r="50" spans="1:4" ht="13.2" x14ac:dyDescent="0.25">
      <c r="A50" s="316" t="s">
        <v>182</v>
      </c>
      <c r="B50" s="316" t="s">
        <v>184</v>
      </c>
      <c r="C50" s="317" t="s">
        <v>0</v>
      </c>
      <c r="D50" s="318">
        <v>1</v>
      </c>
    </row>
    <row r="51" spans="1:4" ht="13.2" x14ac:dyDescent="0.25">
      <c r="A51" s="316" t="s">
        <v>182</v>
      </c>
      <c r="B51" s="316" t="s">
        <v>185</v>
      </c>
      <c r="C51" s="317" t="s">
        <v>0</v>
      </c>
      <c r="D51" s="318">
        <v>1</v>
      </c>
    </row>
    <row r="52" spans="1:4" ht="13.2" x14ac:dyDescent="0.25">
      <c r="A52" s="316" t="s">
        <v>182</v>
      </c>
      <c r="B52" s="316" t="s">
        <v>186</v>
      </c>
      <c r="C52" s="317" t="s">
        <v>0</v>
      </c>
      <c r="D52" s="318">
        <v>1</v>
      </c>
    </row>
    <row r="53" spans="1:4" ht="13.2" x14ac:dyDescent="0.25">
      <c r="A53" s="358" t="s">
        <v>141</v>
      </c>
      <c r="B53" s="358"/>
      <c r="C53" s="358"/>
      <c r="D53" s="358"/>
    </row>
    <row r="54" spans="1:4" ht="13.2" x14ac:dyDescent="0.25">
      <c r="A54" s="316" t="s">
        <v>25</v>
      </c>
      <c r="B54" s="316" t="s">
        <v>195</v>
      </c>
      <c r="C54" s="317" t="s">
        <v>17</v>
      </c>
      <c r="D54" s="318">
        <f>(9.3+9.3+3.3+3.3)*3</f>
        <v>75.600000000000009</v>
      </c>
    </row>
    <row r="55" spans="1:4" ht="13.2" x14ac:dyDescent="0.25">
      <c r="A55" s="316" t="s">
        <v>26</v>
      </c>
      <c r="B55" s="316" t="s">
        <v>195</v>
      </c>
      <c r="C55" s="317" t="s">
        <v>17</v>
      </c>
      <c r="D55" s="318">
        <f>(9.3+9.3+3.3+3.3)*3</f>
        <v>75.600000000000009</v>
      </c>
    </row>
    <row r="56" spans="1:4" ht="13.2" x14ac:dyDescent="0.25">
      <c r="A56" s="358" t="s">
        <v>121</v>
      </c>
      <c r="B56" s="358"/>
      <c r="C56" s="358"/>
      <c r="D56" s="358"/>
    </row>
    <row r="57" spans="1:4" ht="13.2" x14ac:dyDescent="0.25">
      <c r="A57" s="316" t="s">
        <v>115</v>
      </c>
      <c r="B57" s="316" t="s">
        <v>196</v>
      </c>
      <c r="C57" s="317" t="s">
        <v>4</v>
      </c>
      <c r="D57" s="318">
        <f>(7.35+4.86)*3*2</f>
        <v>73.260000000000005</v>
      </c>
    </row>
    <row r="58" spans="1:4" ht="13.2" x14ac:dyDescent="0.25">
      <c r="A58" s="316" t="s">
        <v>54</v>
      </c>
      <c r="B58" s="316" t="s">
        <v>196</v>
      </c>
      <c r="C58" s="317" t="s">
        <v>4</v>
      </c>
      <c r="D58" s="318">
        <f>(7.35+4.86)*3*2</f>
        <v>73.260000000000005</v>
      </c>
    </row>
    <row r="59" spans="1:4" ht="13.2" x14ac:dyDescent="0.25">
      <c r="A59" s="316" t="s">
        <v>33</v>
      </c>
      <c r="B59" s="316" t="s">
        <v>197</v>
      </c>
      <c r="C59" s="317" t="s">
        <v>4</v>
      </c>
      <c r="D59" s="318">
        <f>(4.68+3.28)*2.7</f>
        <v>21.491999999999997</v>
      </c>
    </row>
    <row r="60" spans="1:4" ht="13.2" x14ac:dyDescent="0.25">
      <c r="A60" s="316" t="s">
        <v>200</v>
      </c>
      <c r="B60" s="316" t="s">
        <v>201</v>
      </c>
      <c r="C60" s="317" t="s">
        <v>0</v>
      </c>
      <c r="D60" s="318">
        <v>1</v>
      </c>
    </row>
    <row r="61" spans="1:4" ht="13.2" x14ac:dyDescent="0.25">
      <c r="A61" s="316" t="s">
        <v>198</v>
      </c>
      <c r="B61" s="316" t="s">
        <v>199</v>
      </c>
      <c r="C61" s="317" t="s">
        <v>0</v>
      </c>
      <c r="D61" s="318">
        <v>1</v>
      </c>
    </row>
    <row r="62" spans="1:4" ht="13.2" x14ac:dyDescent="0.25">
      <c r="A62" s="316" t="s">
        <v>231</v>
      </c>
      <c r="B62" s="316" t="s">
        <v>232</v>
      </c>
      <c r="C62" s="317" t="s">
        <v>0</v>
      </c>
      <c r="D62" s="318">
        <v>3</v>
      </c>
    </row>
    <row r="63" spans="1:4" ht="13.2" x14ac:dyDescent="0.25">
      <c r="A63" s="357" t="s">
        <v>122</v>
      </c>
      <c r="B63" s="357"/>
      <c r="C63" s="357"/>
      <c r="D63" s="357"/>
    </row>
    <row r="64" spans="1:4" ht="13.2" x14ac:dyDescent="0.25">
      <c r="A64" s="316" t="s">
        <v>133</v>
      </c>
      <c r="B64" s="316" t="s">
        <v>179</v>
      </c>
      <c r="C64" s="317" t="s">
        <v>0</v>
      </c>
      <c r="D64" s="318">
        <v>1</v>
      </c>
    </row>
    <row r="65" spans="1:4" ht="13.2" x14ac:dyDescent="0.25">
      <c r="A65" s="316" t="s">
        <v>123</v>
      </c>
      <c r="B65" s="316" t="s">
        <v>202</v>
      </c>
      <c r="C65" s="317" t="s">
        <v>4</v>
      </c>
      <c r="D65" s="318">
        <f>3.62*2.7</f>
        <v>9.7740000000000009</v>
      </c>
    </row>
    <row r="66" spans="1:4" ht="13.2" x14ac:dyDescent="0.25">
      <c r="A66" s="589" t="s">
        <v>237</v>
      </c>
      <c r="B66" s="590" t="s">
        <v>204</v>
      </c>
      <c r="C66" s="317" t="s">
        <v>4</v>
      </c>
      <c r="D66" s="318">
        <f>18.44*2.7</f>
        <v>49.788000000000004</v>
      </c>
    </row>
    <row r="67" spans="1:4" ht="13.2" x14ac:dyDescent="0.25">
      <c r="A67" s="589" t="s">
        <v>242</v>
      </c>
      <c r="B67" s="590" t="s">
        <v>204</v>
      </c>
      <c r="C67" s="317" t="s">
        <v>4</v>
      </c>
      <c r="D67" s="318">
        <f>18.44*2.7</f>
        <v>49.788000000000004</v>
      </c>
    </row>
    <row r="68" spans="1:4" ht="13.2" x14ac:dyDescent="0.25">
      <c r="A68" s="357" t="s">
        <v>126</v>
      </c>
      <c r="B68" s="357"/>
      <c r="C68" s="357"/>
      <c r="D68" s="357"/>
    </row>
    <row r="69" spans="1:4" ht="13.2" x14ac:dyDescent="0.25">
      <c r="A69" s="316" t="s">
        <v>134</v>
      </c>
      <c r="B69" s="316" t="s">
        <v>203</v>
      </c>
      <c r="C69" s="317" t="s">
        <v>17</v>
      </c>
      <c r="D69" s="318">
        <v>18.440000000000001</v>
      </c>
    </row>
    <row r="70" spans="1:4" ht="13.2" x14ac:dyDescent="0.25">
      <c r="A70" s="316" t="str">
        <f>'5. ORÇAMENTO SINAPE'!B70</f>
        <v>PRIMER IMPERMEABILIZANTE TRATAMENTO DE INFILTRAÇÃO DAS SALAS  205 E 206</v>
      </c>
      <c r="B70" s="590" t="s">
        <v>204</v>
      </c>
      <c r="C70" s="317" t="s">
        <v>4</v>
      </c>
      <c r="D70" s="318">
        <f>18.44*2.7</f>
        <v>49.788000000000004</v>
      </c>
    </row>
    <row r="71" spans="1:4" ht="13.2" x14ac:dyDescent="0.25">
      <c r="A71" s="316" t="str">
        <f>'5. ORÇAMENTO SINAPE'!B71</f>
        <v>RETOQUE DE PINTURA EM PAREDE (ÁREA REFERENTE 2 DEMÃOS) SALAS  205 E 206</v>
      </c>
      <c r="B71" s="590" t="s">
        <v>204</v>
      </c>
      <c r="C71" s="317" t="s">
        <v>4</v>
      </c>
      <c r="D71" s="318">
        <f>18.44*2.7</f>
        <v>49.788000000000004</v>
      </c>
    </row>
    <row r="72" spans="1:4" ht="13.2" x14ac:dyDescent="0.25">
      <c r="A72" s="358" t="s">
        <v>127</v>
      </c>
      <c r="B72" s="358"/>
      <c r="C72" s="358"/>
      <c r="D72" s="358"/>
    </row>
    <row r="73" spans="1:4" ht="13.2" x14ac:dyDescent="0.25">
      <c r="A73" s="316" t="s">
        <v>135</v>
      </c>
      <c r="B73" s="316" t="s">
        <v>205</v>
      </c>
      <c r="C73" s="317" t="s">
        <v>4</v>
      </c>
      <c r="D73" s="318">
        <v>7</v>
      </c>
    </row>
    <row r="74" spans="1:4" ht="13.2" x14ac:dyDescent="0.25">
      <c r="A74" s="316" t="str">
        <f>'5. ORÇAMENTO SINAPE'!B74</f>
        <v>PRIMER IMPERMEABILIZANTE TRATAMENTO DE INFILTRAÇÃO DAS SALAS 301 E 305</v>
      </c>
      <c r="B74" s="590" t="s">
        <v>204</v>
      </c>
      <c r="C74" s="317" t="s">
        <v>4</v>
      </c>
      <c r="D74" s="318">
        <f>18.44*2.7</f>
        <v>49.788000000000004</v>
      </c>
    </row>
    <row r="75" spans="1:4" ht="13.2" x14ac:dyDescent="0.25">
      <c r="A75" s="316" t="str">
        <f>'5. ORÇAMENTO SINAPE'!B75</f>
        <v>RETOQUE DE PINTURA EM PAREDE (ÁREA REFERENTE 2 DEMÃOS) SALAS  301 E 305</v>
      </c>
      <c r="B75" s="590" t="s">
        <v>204</v>
      </c>
      <c r="C75" s="317" t="s">
        <v>4</v>
      </c>
      <c r="D75" s="318">
        <f>18.44*2.7</f>
        <v>49.788000000000004</v>
      </c>
    </row>
    <row r="76" spans="1:4" ht="13.2" x14ac:dyDescent="0.25">
      <c r="A76" s="316" t="s">
        <v>206</v>
      </c>
      <c r="B76" s="316" t="s">
        <v>207</v>
      </c>
      <c r="C76" s="317" t="s">
        <v>0</v>
      </c>
      <c r="D76" s="318">
        <v>1</v>
      </c>
    </row>
    <row r="77" spans="1:4" ht="13.2" x14ac:dyDescent="0.25">
      <c r="A77" s="316" t="s">
        <v>208</v>
      </c>
      <c r="B77" s="316" t="s">
        <v>207</v>
      </c>
      <c r="C77" s="317" t="s">
        <v>0</v>
      </c>
      <c r="D77" s="318">
        <v>1</v>
      </c>
    </row>
    <row r="78" spans="1:4" ht="13.2" x14ac:dyDescent="0.25">
      <c r="A78" s="358" t="s">
        <v>128</v>
      </c>
      <c r="B78" s="358"/>
      <c r="C78" s="358"/>
      <c r="D78" s="358"/>
    </row>
    <row r="79" spans="1:4" ht="13.2" x14ac:dyDescent="0.25">
      <c r="A79" s="321" t="s">
        <v>125</v>
      </c>
      <c r="B79" s="321" t="s">
        <v>209</v>
      </c>
      <c r="C79" s="317" t="s">
        <v>0</v>
      </c>
      <c r="D79" s="318">
        <v>19</v>
      </c>
    </row>
    <row r="80" spans="1:4" ht="13.2" x14ac:dyDescent="0.25">
      <c r="A80" s="321" t="s">
        <v>124</v>
      </c>
      <c r="B80" s="321" t="s">
        <v>210</v>
      </c>
      <c r="C80" s="317" t="s">
        <v>0</v>
      </c>
      <c r="D80" s="318">
        <v>15</v>
      </c>
    </row>
    <row r="81" spans="1:4" ht="13.2" x14ac:dyDescent="0.25">
      <c r="A81" s="321" t="s">
        <v>140</v>
      </c>
      <c r="B81" s="321" t="s">
        <v>211</v>
      </c>
      <c r="C81" s="317" t="s">
        <v>0</v>
      </c>
      <c r="D81" s="318">
        <v>18</v>
      </c>
    </row>
    <row r="82" spans="1:4" ht="13.2" x14ac:dyDescent="0.25">
      <c r="A82" s="316" t="s">
        <v>32</v>
      </c>
      <c r="B82" s="316" t="s">
        <v>213</v>
      </c>
      <c r="C82" s="317" t="s">
        <v>0</v>
      </c>
      <c r="D82" s="318">
        <v>1</v>
      </c>
    </row>
    <row r="83" spans="1:4" ht="13.2" x14ac:dyDescent="0.25">
      <c r="A83" s="358" t="s">
        <v>129</v>
      </c>
      <c r="B83" s="358"/>
      <c r="C83" s="358"/>
      <c r="D83" s="358"/>
    </row>
    <row r="84" spans="1:4" ht="13.2" x14ac:dyDescent="0.25">
      <c r="A84" s="316" t="s">
        <v>44</v>
      </c>
      <c r="B84" s="316" t="s">
        <v>249</v>
      </c>
      <c r="C84" s="317" t="s">
        <v>4</v>
      </c>
      <c r="D84" s="318">
        <v>122.4</v>
      </c>
    </row>
    <row r="85" spans="1:4" ht="13.2" x14ac:dyDescent="0.25">
      <c r="A85" s="321" t="s">
        <v>139</v>
      </c>
      <c r="B85" s="321" t="s">
        <v>214</v>
      </c>
      <c r="C85" s="317" t="s">
        <v>0</v>
      </c>
      <c r="D85" s="318">
        <f>3+4+4</f>
        <v>11</v>
      </c>
    </row>
    <row r="86" spans="1:4" ht="13.2" x14ac:dyDescent="0.25">
      <c r="A86" s="358" t="s">
        <v>130</v>
      </c>
      <c r="B86" s="358"/>
      <c r="C86" s="358"/>
      <c r="D86" s="358"/>
    </row>
    <row r="87" spans="1:4" ht="13.2" x14ac:dyDescent="0.25">
      <c r="A87" s="316" t="s">
        <v>22</v>
      </c>
      <c r="B87" s="316" t="s">
        <v>215</v>
      </c>
      <c r="C87" s="317" t="s">
        <v>0</v>
      </c>
      <c r="D87" s="318">
        <v>61</v>
      </c>
    </row>
    <row r="88" spans="1:4" ht="13.2" x14ac:dyDescent="0.25">
      <c r="A88" s="316" t="s">
        <v>229</v>
      </c>
      <c r="B88" s="316" t="s">
        <v>201</v>
      </c>
      <c r="C88" s="317" t="s">
        <v>0</v>
      </c>
      <c r="D88" s="318">
        <v>1</v>
      </c>
    </row>
    <row r="89" spans="1:4" ht="13.2" x14ac:dyDescent="0.25">
      <c r="A89" s="321" t="s">
        <v>243</v>
      </c>
      <c r="B89" s="316" t="s">
        <v>215</v>
      </c>
      <c r="C89" s="317" t="s">
        <v>0</v>
      </c>
      <c r="D89" s="318">
        <f>1+7+14+16+12+12</f>
        <v>62</v>
      </c>
    </row>
    <row r="90" spans="1:4" ht="13.2" x14ac:dyDescent="0.25">
      <c r="A90" s="358" t="s">
        <v>131</v>
      </c>
      <c r="B90" s="358"/>
      <c r="C90" s="358"/>
      <c r="D90" s="358"/>
    </row>
    <row r="91" spans="1:4" s="243" customFormat="1" ht="13.2" x14ac:dyDescent="0.25">
      <c r="A91" s="321" t="s">
        <v>138</v>
      </c>
      <c r="B91" s="321" t="s">
        <v>216</v>
      </c>
      <c r="C91" s="317" t="s">
        <v>4</v>
      </c>
      <c r="D91" s="318">
        <v>252.42</v>
      </c>
    </row>
    <row r="92" spans="1:4" ht="13.2" x14ac:dyDescent="0.25">
      <c r="A92" s="316" t="s">
        <v>137</v>
      </c>
      <c r="B92" s="316" t="s">
        <v>217</v>
      </c>
      <c r="C92" s="317" t="s">
        <v>4</v>
      </c>
      <c r="D92" s="318">
        <f>252.42+16.12+((77.47+18.17)*0.3)</f>
        <v>297.23199999999997</v>
      </c>
    </row>
    <row r="93" spans="1:4" ht="13.2" x14ac:dyDescent="0.25">
      <c r="A93" s="316" t="s">
        <v>136</v>
      </c>
      <c r="B93" s="316" t="s">
        <v>219</v>
      </c>
      <c r="C93" s="317" t="s">
        <v>4</v>
      </c>
      <c r="D93" s="318">
        <v>322</v>
      </c>
    </row>
    <row r="94" spans="1:4" ht="23.4" x14ac:dyDescent="0.25">
      <c r="A94" s="327" t="s">
        <v>148</v>
      </c>
      <c r="B94" s="321" t="s">
        <v>218</v>
      </c>
      <c r="C94" s="317" t="s">
        <v>4</v>
      </c>
      <c r="D94" s="318">
        <f>252.42+16.12</f>
        <v>268.53999999999996</v>
      </c>
    </row>
    <row r="95" spans="1:4" ht="13.2" x14ac:dyDescent="0.25">
      <c r="C95" s="106"/>
      <c r="D95" s="107"/>
    </row>
    <row r="96" spans="1:4" ht="13.2" x14ac:dyDescent="0.25"/>
    <row r="97" spans="3:4" ht="13.2" x14ac:dyDescent="0.25"/>
    <row r="98" spans="3:4" ht="13.2" x14ac:dyDescent="0.25">
      <c r="C98" s="106"/>
      <c r="D98" s="107"/>
    </row>
    <row r="99" spans="3:4" ht="13.2" x14ac:dyDescent="0.25">
      <c r="C99" s="106"/>
      <c r="D99" s="107"/>
    </row>
    <row r="100" spans="3:4" ht="13.2" x14ac:dyDescent="0.25">
      <c r="C100" s="106"/>
      <c r="D100" s="107"/>
    </row>
    <row r="101" spans="3:4" ht="13.2" x14ac:dyDescent="0.25">
      <c r="C101" s="106"/>
      <c r="D101" s="107"/>
    </row>
    <row r="102" spans="3:4" ht="13.2" x14ac:dyDescent="0.25">
      <c r="C102" s="106"/>
      <c r="D102" s="107"/>
    </row>
    <row r="103" spans="3:4" ht="13.8" thickBot="1" x14ac:dyDescent="0.3">
      <c r="C103" s="106"/>
      <c r="D103" s="107"/>
    </row>
    <row r="104" spans="3:4" ht="13.2" x14ac:dyDescent="0.25">
      <c r="C104" s="106"/>
      <c r="D104" s="107"/>
    </row>
    <row r="105" spans="3:4" ht="13.2" x14ac:dyDescent="0.25"/>
    <row r="106" spans="3:4" s="7" customFormat="1" ht="11.4" x14ac:dyDescent="0.2">
      <c r="C106" s="106"/>
      <c r="D106" s="107"/>
    </row>
    <row r="107" spans="3:4" s="7" customFormat="1" ht="11.4" x14ac:dyDescent="0.2"/>
    <row r="108" spans="3:4" s="7" customFormat="1" ht="11.4" x14ac:dyDescent="0.2"/>
    <row r="109" spans="3:4" s="7" customFormat="1" ht="11.4" x14ac:dyDescent="0.2"/>
    <row r="110" spans="3:4" s="7" customFormat="1" ht="11.4" x14ac:dyDescent="0.2"/>
    <row r="111" spans="3:4" s="7" customFormat="1" ht="11.4" x14ac:dyDescent="0.2">
      <c r="C111" s="106"/>
      <c r="D111" s="107"/>
    </row>
    <row r="112" spans="3:4" s="7" customFormat="1" ht="11.4" x14ac:dyDescent="0.2"/>
    <row r="113" spans="3:4" s="7" customFormat="1" ht="11.4" x14ac:dyDescent="0.2">
      <c r="C113" s="106"/>
      <c r="D113" s="107"/>
    </row>
    <row r="114" spans="3:4" s="7" customFormat="1" ht="11.4" x14ac:dyDescent="0.2"/>
    <row r="115" spans="3:4" s="7" customFormat="1" ht="11.4" x14ac:dyDescent="0.2"/>
    <row r="116" spans="3:4" s="7" customFormat="1" ht="11.4" x14ac:dyDescent="0.2"/>
    <row r="117" spans="3:4" s="7" customFormat="1" ht="11.4" x14ac:dyDescent="0.2"/>
    <row r="118" spans="3:4" s="7" customFormat="1" ht="11.4" x14ac:dyDescent="0.2"/>
    <row r="119" spans="3:4" s="7" customFormat="1" ht="11.4" x14ac:dyDescent="0.2">
      <c r="C119" s="106"/>
      <c r="D119" s="107"/>
    </row>
    <row r="120" spans="3:4" s="7" customFormat="1" ht="11.4" x14ac:dyDescent="0.2"/>
    <row r="121" spans="3:4" s="7" customFormat="1" ht="11.4" x14ac:dyDescent="0.2">
      <c r="C121" s="106"/>
      <c r="D121" s="107"/>
    </row>
    <row r="122" spans="3:4" s="7" customFormat="1" ht="11.4" x14ac:dyDescent="0.2"/>
    <row r="123" spans="3:4" s="7" customFormat="1" ht="11.4" x14ac:dyDescent="0.2"/>
    <row r="124" spans="3:4" s="7" customFormat="1" ht="11.4" x14ac:dyDescent="0.2"/>
    <row r="125" spans="3:4" s="7" customFormat="1" ht="11.4" x14ac:dyDescent="0.2"/>
    <row r="126" spans="3:4" s="7" customFormat="1" ht="11.4" x14ac:dyDescent="0.2"/>
    <row r="127" spans="3:4" s="7" customFormat="1" ht="11.4" x14ac:dyDescent="0.2"/>
    <row r="128" spans="3:4" s="7" customFormat="1" ht="11.4" x14ac:dyDescent="0.2"/>
    <row r="129" spans="3:4" s="7" customFormat="1" ht="11.4" x14ac:dyDescent="0.2">
      <c r="C129" s="106"/>
      <c r="D129" s="107"/>
    </row>
    <row r="130" spans="3:4" s="7" customFormat="1" ht="11.4" x14ac:dyDescent="0.2">
      <c r="C130" s="106"/>
      <c r="D130" s="107"/>
    </row>
    <row r="131" spans="3:4" s="7" customFormat="1" ht="11.4" x14ac:dyDescent="0.2">
      <c r="C131" s="106"/>
      <c r="D131" s="107"/>
    </row>
    <row r="132" spans="3:4" s="7" customFormat="1" ht="11.4" x14ac:dyDescent="0.2">
      <c r="C132" s="106"/>
      <c r="D132" s="107"/>
    </row>
    <row r="133" spans="3:4" s="7" customFormat="1" ht="11.4" x14ac:dyDescent="0.2">
      <c r="C133" s="106"/>
      <c r="D133" s="107"/>
    </row>
    <row r="134" spans="3:4" s="7" customFormat="1" ht="11.4" x14ac:dyDescent="0.2">
      <c r="C134" s="106"/>
      <c r="D134" s="107"/>
    </row>
    <row r="135" spans="3:4" s="7" customFormat="1" ht="11.4" x14ac:dyDescent="0.2">
      <c r="C135" s="106"/>
      <c r="D135" s="107"/>
    </row>
    <row r="136" spans="3:4" s="7" customFormat="1" ht="11.4" x14ac:dyDescent="0.2">
      <c r="C136" s="106"/>
      <c r="D136" s="107"/>
    </row>
    <row r="137" spans="3:4" s="7" customFormat="1" ht="11.4" x14ac:dyDescent="0.2">
      <c r="C137" s="106"/>
      <c r="D137" s="107"/>
    </row>
    <row r="138" spans="3:4" s="7" customFormat="1" ht="11.4" x14ac:dyDescent="0.2">
      <c r="C138" s="106"/>
      <c r="D138" s="107"/>
    </row>
    <row r="139" spans="3:4" s="7" customFormat="1" ht="11.4" x14ac:dyDescent="0.2">
      <c r="C139" s="106"/>
      <c r="D139" s="107"/>
    </row>
    <row r="140" spans="3:4" s="7" customFormat="1" ht="11.4" x14ac:dyDescent="0.2">
      <c r="C140" s="106"/>
      <c r="D140" s="107"/>
    </row>
    <row r="141" spans="3:4" s="7" customFormat="1" ht="11.4" x14ac:dyDescent="0.2">
      <c r="C141" s="106"/>
      <c r="D141" s="107"/>
    </row>
    <row r="142" spans="3:4" s="7" customFormat="1" ht="11.4" x14ac:dyDescent="0.2">
      <c r="C142" s="106"/>
      <c r="D142" s="107"/>
    </row>
    <row r="143" spans="3:4" s="7" customFormat="1" ht="11.4" x14ac:dyDescent="0.2">
      <c r="C143" s="106"/>
      <c r="D143" s="107"/>
    </row>
    <row r="144" spans="3:4" s="7" customFormat="1" ht="11.4" x14ac:dyDescent="0.2">
      <c r="C144" s="106"/>
      <c r="D144" s="107"/>
    </row>
    <row r="145" spans="3:4" s="7" customFormat="1" ht="11.4" x14ac:dyDescent="0.2">
      <c r="C145" s="106"/>
      <c r="D145" s="107"/>
    </row>
    <row r="146" spans="3:4" s="7" customFormat="1" ht="11.4" x14ac:dyDescent="0.2">
      <c r="C146" s="106"/>
      <c r="D146" s="107"/>
    </row>
    <row r="147" spans="3:4" s="7" customFormat="1" ht="11.4" x14ac:dyDescent="0.2">
      <c r="C147" s="106"/>
      <c r="D147" s="107"/>
    </row>
    <row r="148" spans="3:4" s="7" customFormat="1" ht="11.4" x14ac:dyDescent="0.2">
      <c r="C148" s="106"/>
      <c r="D148" s="107"/>
    </row>
    <row r="149" spans="3:4" s="7" customFormat="1" ht="11.4" x14ac:dyDescent="0.2">
      <c r="C149" s="106"/>
      <c r="D149" s="107"/>
    </row>
    <row r="150" spans="3:4" s="7" customFormat="1" ht="11.4" x14ac:dyDescent="0.2">
      <c r="C150" s="106"/>
      <c r="D150" s="107"/>
    </row>
    <row r="151" spans="3:4" s="7" customFormat="1" ht="11.4" x14ac:dyDescent="0.2">
      <c r="C151" s="106"/>
      <c r="D151" s="107"/>
    </row>
    <row r="152" spans="3:4" s="7" customFormat="1" ht="11.4" x14ac:dyDescent="0.2">
      <c r="C152" s="106"/>
      <c r="D152" s="107"/>
    </row>
    <row r="153" spans="3:4" s="7" customFormat="1" ht="11.4" x14ac:dyDescent="0.2">
      <c r="C153" s="106"/>
      <c r="D153" s="107"/>
    </row>
    <row r="154" spans="3:4" s="7" customFormat="1" ht="11.4" x14ac:dyDescent="0.2">
      <c r="C154" s="106"/>
      <c r="D154" s="107"/>
    </row>
    <row r="155" spans="3:4" s="7" customFormat="1" ht="11.4" x14ac:dyDescent="0.2">
      <c r="C155" s="106"/>
      <c r="D155" s="107"/>
    </row>
    <row r="156" spans="3:4" s="7" customFormat="1" ht="11.4" x14ac:dyDescent="0.2">
      <c r="C156" s="106"/>
      <c r="D156" s="107"/>
    </row>
    <row r="157" spans="3:4" s="7" customFormat="1" ht="11.4" x14ac:dyDescent="0.2">
      <c r="C157" s="106"/>
      <c r="D157" s="107"/>
    </row>
    <row r="158" spans="3:4" s="7" customFormat="1" ht="11.4" x14ac:dyDescent="0.2">
      <c r="C158" s="106"/>
      <c r="D158" s="107"/>
    </row>
    <row r="159" spans="3:4" s="7" customFormat="1" ht="11.4" x14ac:dyDescent="0.2">
      <c r="C159" s="106"/>
      <c r="D159" s="107"/>
    </row>
    <row r="160" spans="3:4" s="7" customFormat="1" ht="11.4" x14ac:dyDescent="0.2">
      <c r="C160" s="106"/>
      <c r="D160" s="107"/>
    </row>
    <row r="161" spans="3:4" s="7" customFormat="1" ht="11.4" x14ac:dyDescent="0.2">
      <c r="C161" s="106"/>
      <c r="D161" s="107"/>
    </row>
    <row r="162" spans="3:4" s="7" customFormat="1" ht="11.4" x14ac:dyDescent="0.2">
      <c r="C162" s="106"/>
      <c r="D162" s="107"/>
    </row>
    <row r="163" spans="3:4" s="7" customFormat="1" ht="11.4" x14ac:dyDescent="0.2">
      <c r="C163" s="106"/>
      <c r="D163" s="107"/>
    </row>
    <row r="164" spans="3:4" s="7" customFormat="1" ht="11.4" x14ac:dyDescent="0.2">
      <c r="C164" s="106"/>
      <c r="D164" s="107"/>
    </row>
    <row r="165" spans="3:4" s="7" customFormat="1" ht="11.4" x14ac:dyDescent="0.2">
      <c r="C165" s="106"/>
      <c r="D165" s="107"/>
    </row>
    <row r="166" spans="3:4" s="7" customFormat="1" ht="11.4" x14ac:dyDescent="0.2">
      <c r="C166" s="106"/>
      <c r="D166" s="107"/>
    </row>
    <row r="167" spans="3:4" s="7" customFormat="1" ht="11.4" x14ac:dyDescent="0.2">
      <c r="C167" s="106"/>
      <c r="D167" s="107"/>
    </row>
    <row r="168" spans="3:4" s="7" customFormat="1" ht="11.4" x14ac:dyDescent="0.2">
      <c r="C168" s="106"/>
      <c r="D168" s="107"/>
    </row>
    <row r="169" spans="3:4" s="7" customFormat="1" ht="11.4" x14ac:dyDescent="0.2">
      <c r="C169" s="106"/>
      <c r="D169" s="107"/>
    </row>
    <row r="170" spans="3:4" s="7" customFormat="1" ht="11.4" x14ac:dyDescent="0.2">
      <c r="C170" s="106"/>
      <c r="D170" s="107"/>
    </row>
    <row r="171" spans="3:4" s="7" customFormat="1" ht="11.4" x14ac:dyDescent="0.2">
      <c r="C171" s="106"/>
      <c r="D171" s="107"/>
    </row>
    <row r="172" spans="3:4" s="7" customFormat="1" ht="11.4" x14ac:dyDescent="0.2">
      <c r="C172" s="106"/>
      <c r="D172" s="107"/>
    </row>
    <row r="173" spans="3:4" s="7" customFormat="1" ht="11.4" x14ac:dyDescent="0.2">
      <c r="C173" s="106"/>
      <c r="D173" s="107"/>
    </row>
    <row r="174" spans="3:4" s="7" customFormat="1" ht="11.4" x14ac:dyDescent="0.2">
      <c r="C174" s="106"/>
      <c r="D174" s="107"/>
    </row>
    <row r="175" spans="3:4" s="7" customFormat="1" ht="11.4" x14ac:dyDescent="0.2">
      <c r="C175" s="106"/>
      <c r="D175" s="107"/>
    </row>
    <row r="176" spans="3:4" s="7" customFormat="1" ht="11.4" x14ac:dyDescent="0.2">
      <c r="C176" s="106"/>
      <c r="D176" s="107"/>
    </row>
    <row r="177" spans="3:4" s="7" customFormat="1" ht="11.4" x14ac:dyDescent="0.2">
      <c r="C177" s="106"/>
      <c r="D177" s="107"/>
    </row>
    <row r="178" spans="3:4" s="7" customFormat="1" ht="11.4" x14ac:dyDescent="0.2">
      <c r="C178" s="106"/>
      <c r="D178" s="107"/>
    </row>
    <row r="179" spans="3:4" s="7" customFormat="1" ht="11.4" x14ac:dyDescent="0.2">
      <c r="C179" s="106"/>
      <c r="D179" s="107"/>
    </row>
    <row r="180" spans="3:4" s="7" customFormat="1" ht="11.4" x14ac:dyDescent="0.2">
      <c r="C180" s="106"/>
      <c r="D180" s="107"/>
    </row>
    <row r="181" spans="3:4" s="7" customFormat="1" ht="11.4" x14ac:dyDescent="0.2">
      <c r="C181" s="106"/>
      <c r="D181" s="107"/>
    </row>
    <row r="182" spans="3:4" s="7" customFormat="1" ht="11.4" x14ac:dyDescent="0.2">
      <c r="C182" s="106"/>
      <c r="D182" s="107"/>
    </row>
    <row r="183" spans="3:4" s="7" customFormat="1" ht="11.4" x14ac:dyDescent="0.2">
      <c r="C183" s="106"/>
      <c r="D183" s="107"/>
    </row>
    <row r="184" spans="3:4" s="7" customFormat="1" ht="11.4" x14ac:dyDescent="0.2">
      <c r="C184" s="106"/>
      <c r="D184" s="107"/>
    </row>
    <row r="185" spans="3:4" s="7" customFormat="1" ht="11.4" x14ac:dyDescent="0.2">
      <c r="C185" s="106"/>
      <c r="D185" s="107"/>
    </row>
    <row r="186" spans="3:4" s="7" customFormat="1" ht="11.4" x14ac:dyDescent="0.2">
      <c r="C186" s="106"/>
      <c r="D186" s="107"/>
    </row>
    <row r="187" spans="3:4" s="7" customFormat="1" ht="11.4" x14ac:dyDescent="0.2">
      <c r="C187" s="106"/>
      <c r="D187" s="107"/>
    </row>
    <row r="188" spans="3:4" s="7" customFormat="1" ht="11.4" x14ac:dyDescent="0.2">
      <c r="C188" s="106"/>
      <c r="D188" s="107"/>
    </row>
    <row r="189" spans="3:4" s="7" customFormat="1" ht="11.4" x14ac:dyDescent="0.2">
      <c r="C189" s="106"/>
      <c r="D189" s="107"/>
    </row>
    <row r="190" spans="3:4" s="7" customFormat="1" ht="11.4" x14ac:dyDescent="0.2">
      <c r="C190" s="106"/>
      <c r="D190" s="107"/>
    </row>
    <row r="191" spans="3:4" s="7" customFormat="1" ht="11.4" x14ac:dyDescent="0.2">
      <c r="C191" s="106"/>
      <c r="D191" s="107"/>
    </row>
    <row r="192" spans="3:4" s="7" customFormat="1" ht="11.4" x14ac:dyDescent="0.2">
      <c r="C192" s="106"/>
      <c r="D192" s="107"/>
    </row>
    <row r="193" spans="3:4" s="7" customFormat="1" ht="11.4" x14ac:dyDescent="0.2">
      <c r="C193" s="106"/>
      <c r="D193" s="107"/>
    </row>
    <row r="194" spans="3:4" s="7" customFormat="1" ht="11.4" x14ac:dyDescent="0.2">
      <c r="C194" s="106"/>
      <c r="D194" s="107"/>
    </row>
    <row r="195" spans="3:4" s="7" customFormat="1" ht="11.4" x14ac:dyDescent="0.2">
      <c r="C195" s="106"/>
      <c r="D195" s="107"/>
    </row>
    <row r="196" spans="3:4" s="7" customFormat="1" ht="11.4" x14ac:dyDescent="0.2">
      <c r="C196" s="106"/>
      <c r="D196" s="107"/>
    </row>
    <row r="197" spans="3:4" s="7" customFormat="1" ht="11.4" x14ac:dyDescent="0.2">
      <c r="C197" s="106"/>
      <c r="D197" s="107"/>
    </row>
    <row r="198" spans="3:4" s="7" customFormat="1" ht="11.4" x14ac:dyDescent="0.2">
      <c r="C198" s="106"/>
      <c r="D198" s="107"/>
    </row>
    <row r="199" spans="3:4" s="7" customFormat="1" ht="11.4" x14ac:dyDescent="0.2">
      <c r="C199" s="106"/>
      <c r="D199" s="107"/>
    </row>
    <row r="200" spans="3:4" s="7" customFormat="1" ht="11.4" x14ac:dyDescent="0.2">
      <c r="C200" s="106"/>
      <c r="D200" s="107"/>
    </row>
    <row r="201" spans="3:4" s="7" customFormat="1" ht="11.4" x14ac:dyDescent="0.2">
      <c r="C201" s="106"/>
      <c r="D201" s="107"/>
    </row>
    <row r="202" spans="3:4" s="7" customFormat="1" ht="11.4" x14ac:dyDescent="0.2">
      <c r="C202" s="106"/>
      <c r="D202" s="107"/>
    </row>
    <row r="203" spans="3:4" s="7" customFormat="1" ht="11.4" x14ac:dyDescent="0.2">
      <c r="C203" s="106"/>
      <c r="D203" s="107"/>
    </row>
    <row r="204" spans="3:4" s="7" customFormat="1" ht="11.4" x14ac:dyDescent="0.2">
      <c r="C204" s="106"/>
      <c r="D204" s="107"/>
    </row>
    <row r="205" spans="3:4" s="7" customFormat="1" ht="11.4" x14ac:dyDescent="0.2">
      <c r="C205" s="106"/>
      <c r="D205" s="107"/>
    </row>
    <row r="206" spans="3:4" s="7" customFormat="1" ht="11.4" x14ac:dyDescent="0.2">
      <c r="C206" s="106"/>
      <c r="D206" s="107"/>
    </row>
    <row r="207" spans="3:4" s="7" customFormat="1" ht="11.4" x14ac:dyDescent="0.2">
      <c r="C207" s="106"/>
      <c r="D207" s="107"/>
    </row>
    <row r="208" spans="3:4" s="7" customFormat="1" ht="11.4" x14ac:dyDescent="0.2">
      <c r="C208" s="106"/>
      <c r="D208" s="107"/>
    </row>
    <row r="209" spans="3:4" s="7" customFormat="1" ht="11.4" x14ac:dyDescent="0.2">
      <c r="C209" s="106"/>
      <c r="D209" s="107"/>
    </row>
    <row r="210" spans="3:4" s="7" customFormat="1" ht="11.4" x14ac:dyDescent="0.2">
      <c r="C210" s="106"/>
      <c r="D210" s="107"/>
    </row>
    <row r="211" spans="3:4" s="7" customFormat="1" ht="11.4" x14ac:dyDescent="0.2">
      <c r="C211" s="106"/>
      <c r="D211" s="107"/>
    </row>
    <row r="212" spans="3:4" s="7" customFormat="1" ht="11.4" x14ac:dyDescent="0.2">
      <c r="C212" s="106"/>
      <c r="D212" s="107"/>
    </row>
    <row r="213" spans="3:4" s="7" customFormat="1" ht="11.4" x14ac:dyDescent="0.2">
      <c r="C213" s="106"/>
      <c r="D213" s="107"/>
    </row>
    <row r="214" spans="3:4" s="7" customFormat="1" ht="11.4" x14ac:dyDescent="0.2">
      <c r="C214" s="106"/>
      <c r="D214" s="107"/>
    </row>
    <row r="215" spans="3:4" s="7" customFormat="1" ht="11.4" x14ac:dyDescent="0.2">
      <c r="C215" s="106"/>
      <c r="D215" s="107"/>
    </row>
    <row r="216" spans="3:4" s="7" customFormat="1" ht="11.4" x14ac:dyDescent="0.2">
      <c r="C216" s="106"/>
      <c r="D216" s="107"/>
    </row>
    <row r="217" spans="3:4" s="7" customFormat="1" ht="11.4" x14ac:dyDescent="0.2">
      <c r="C217" s="106"/>
      <c r="D217" s="107"/>
    </row>
    <row r="218" spans="3:4" s="7" customFormat="1" ht="11.4" x14ac:dyDescent="0.2">
      <c r="C218" s="106"/>
      <c r="D218" s="107"/>
    </row>
    <row r="219" spans="3:4" s="7" customFormat="1" ht="11.4" x14ac:dyDescent="0.2">
      <c r="C219" s="106"/>
      <c r="D219" s="107"/>
    </row>
    <row r="220" spans="3:4" s="7" customFormat="1" ht="11.4" x14ac:dyDescent="0.2">
      <c r="C220" s="106"/>
      <c r="D220" s="107"/>
    </row>
    <row r="221" spans="3:4" s="7" customFormat="1" ht="11.4" x14ac:dyDescent="0.2">
      <c r="C221" s="106"/>
      <c r="D221" s="107"/>
    </row>
    <row r="222" spans="3:4" s="7" customFormat="1" ht="11.4" x14ac:dyDescent="0.2">
      <c r="C222" s="106"/>
      <c r="D222" s="107"/>
    </row>
    <row r="223" spans="3:4" s="7" customFormat="1" ht="11.4" x14ac:dyDescent="0.2">
      <c r="C223" s="106"/>
      <c r="D223" s="107"/>
    </row>
    <row r="224" spans="3:4" s="7" customFormat="1" ht="11.4" x14ac:dyDescent="0.2">
      <c r="C224" s="106"/>
      <c r="D224" s="107"/>
    </row>
    <row r="225" spans="3:4" s="7" customFormat="1" ht="11.4" x14ac:dyDescent="0.2">
      <c r="C225" s="106"/>
      <c r="D225" s="107"/>
    </row>
    <row r="226" spans="3:4" s="7" customFormat="1" ht="11.4" x14ac:dyDescent="0.2">
      <c r="C226" s="106"/>
      <c r="D226" s="107"/>
    </row>
    <row r="227" spans="3:4" s="7" customFormat="1" ht="11.4" x14ac:dyDescent="0.2">
      <c r="C227" s="106"/>
      <c r="D227" s="107"/>
    </row>
    <row r="228" spans="3:4" s="7" customFormat="1" ht="11.4" x14ac:dyDescent="0.2">
      <c r="C228" s="106"/>
      <c r="D228" s="107"/>
    </row>
    <row r="229" spans="3:4" s="7" customFormat="1" ht="11.4" x14ac:dyDescent="0.2">
      <c r="C229" s="106"/>
      <c r="D229" s="107"/>
    </row>
    <row r="230" spans="3:4" s="7" customFormat="1" ht="11.4" x14ac:dyDescent="0.2">
      <c r="C230" s="106"/>
      <c r="D230" s="107"/>
    </row>
    <row r="231" spans="3:4" s="7" customFormat="1" ht="11.4" x14ac:dyDescent="0.2">
      <c r="C231" s="106"/>
      <c r="D231" s="107"/>
    </row>
    <row r="232" spans="3:4" s="7" customFormat="1" ht="11.4" x14ac:dyDescent="0.2">
      <c r="C232" s="106"/>
      <c r="D232" s="107"/>
    </row>
    <row r="233" spans="3:4" s="7" customFormat="1" ht="11.4" x14ac:dyDescent="0.2">
      <c r="C233" s="106"/>
      <c r="D233" s="107"/>
    </row>
    <row r="234" spans="3:4" s="7" customFormat="1" ht="11.4" x14ac:dyDescent="0.2">
      <c r="C234" s="106"/>
      <c r="D234" s="107"/>
    </row>
    <row r="235" spans="3:4" s="7" customFormat="1" ht="11.4" x14ac:dyDescent="0.2">
      <c r="C235" s="106"/>
      <c r="D235" s="107"/>
    </row>
    <row r="236" spans="3:4" s="7" customFormat="1" ht="11.4" x14ac:dyDescent="0.2">
      <c r="C236" s="106"/>
      <c r="D236" s="107"/>
    </row>
    <row r="237" spans="3:4" s="7" customFormat="1" ht="11.4" x14ac:dyDescent="0.2">
      <c r="C237" s="106"/>
      <c r="D237" s="107"/>
    </row>
    <row r="238" spans="3:4" s="7" customFormat="1" ht="11.4" x14ac:dyDescent="0.2">
      <c r="C238" s="106"/>
      <c r="D238" s="107"/>
    </row>
    <row r="239" spans="3:4" s="7" customFormat="1" ht="11.4" x14ac:dyDescent="0.2">
      <c r="C239" s="106"/>
      <c r="D239" s="107"/>
    </row>
    <row r="240" spans="3:4" s="7" customFormat="1" ht="11.4" x14ac:dyDescent="0.2">
      <c r="C240" s="106"/>
      <c r="D240" s="107"/>
    </row>
    <row r="241" spans="3:4" s="7" customFormat="1" ht="11.4" x14ac:dyDescent="0.2">
      <c r="C241" s="106"/>
      <c r="D241" s="107"/>
    </row>
    <row r="242" spans="3:4" s="7" customFormat="1" ht="11.4" x14ac:dyDescent="0.2">
      <c r="C242" s="106"/>
      <c r="D242" s="107"/>
    </row>
    <row r="243" spans="3:4" s="7" customFormat="1" ht="11.4" x14ac:dyDescent="0.2">
      <c r="C243" s="106"/>
      <c r="D243" s="107"/>
    </row>
    <row r="244" spans="3:4" s="7" customFormat="1" ht="11.4" x14ac:dyDescent="0.2">
      <c r="C244" s="106"/>
      <c r="D244" s="107"/>
    </row>
    <row r="245" spans="3:4" s="7" customFormat="1" ht="11.4" x14ac:dyDescent="0.2">
      <c r="C245" s="106"/>
      <c r="D245" s="107"/>
    </row>
    <row r="246" spans="3:4" s="7" customFormat="1" ht="11.4" x14ac:dyDescent="0.2">
      <c r="C246" s="106"/>
      <c r="D246" s="107"/>
    </row>
    <row r="247" spans="3:4" s="7" customFormat="1" ht="11.4" x14ac:dyDescent="0.2">
      <c r="C247" s="106"/>
      <c r="D247" s="107"/>
    </row>
    <row r="248" spans="3:4" s="7" customFormat="1" ht="11.4" x14ac:dyDescent="0.2">
      <c r="C248" s="106"/>
      <c r="D248" s="107"/>
    </row>
    <row r="249" spans="3:4" s="7" customFormat="1" ht="11.4" x14ac:dyDescent="0.2">
      <c r="C249" s="106"/>
      <c r="D249" s="107"/>
    </row>
    <row r="250" spans="3:4" s="7" customFormat="1" ht="11.4" x14ac:dyDescent="0.2">
      <c r="C250" s="106"/>
      <c r="D250" s="107"/>
    </row>
    <row r="251" spans="3:4" s="7" customFormat="1" ht="11.4" x14ac:dyDescent="0.2">
      <c r="C251" s="106"/>
      <c r="D251" s="107"/>
    </row>
    <row r="252" spans="3:4" s="7" customFormat="1" ht="11.4" x14ac:dyDescent="0.2">
      <c r="C252" s="106"/>
      <c r="D252" s="107"/>
    </row>
    <row r="253" spans="3:4" s="7" customFormat="1" ht="11.4" x14ac:dyDescent="0.2">
      <c r="C253" s="106"/>
      <c r="D253" s="107"/>
    </row>
    <row r="254" spans="3:4" s="7" customFormat="1" ht="11.4" x14ac:dyDescent="0.2">
      <c r="C254" s="106"/>
      <c r="D254" s="107"/>
    </row>
    <row r="255" spans="3:4" s="7" customFormat="1" ht="11.4" x14ac:dyDescent="0.2">
      <c r="C255" s="106"/>
      <c r="D255" s="107"/>
    </row>
    <row r="256" spans="3:4" s="7" customFormat="1" ht="11.4" x14ac:dyDescent="0.2">
      <c r="C256" s="106"/>
      <c r="D256" s="107"/>
    </row>
    <row r="257" spans="3:4" s="7" customFormat="1" ht="11.4" x14ac:dyDescent="0.2">
      <c r="C257" s="106"/>
      <c r="D257" s="107"/>
    </row>
    <row r="258" spans="3:4" s="7" customFormat="1" ht="11.4" x14ac:dyDescent="0.2">
      <c r="C258" s="106"/>
      <c r="D258" s="107"/>
    </row>
    <row r="259" spans="3:4" s="7" customFormat="1" ht="11.4" x14ac:dyDescent="0.2">
      <c r="C259" s="106"/>
      <c r="D259" s="107"/>
    </row>
    <row r="260" spans="3:4" s="7" customFormat="1" ht="11.4" x14ac:dyDescent="0.2">
      <c r="C260" s="106"/>
      <c r="D260" s="107"/>
    </row>
    <row r="261" spans="3:4" s="7" customFormat="1" ht="11.4" x14ac:dyDescent="0.2">
      <c r="C261" s="106"/>
      <c r="D261" s="107"/>
    </row>
    <row r="262" spans="3:4" s="7" customFormat="1" ht="11.4" x14ac:dyDescent="0.2">
      <c r="C262" s="106"/>
      <c r="D262" s="107"/>
    </row>
    <row r="263" spans="3:4" s="7" customFormat="1" ht="11.4" x14ac:dyDescent="0.2">
      <c r="C263" s="106"/>
      <c r="D263" s="107"/>
    </row>
    <row r="264" spans="3:4" s="7" customFormat="1" ht="11.4" x14ac:dyDescent="0.2">
      <c r="C264" s="106"/>
      <c r="D264" s="107"/>
    </row>
    <row r="265" spans="3:4" s="7" customFormat="1" ht="11.4" x14ac:dyDescent="0.2">
      <c r="C265" s="106"/>
      <c r="D265" s="107"/>
    </row>
    <row r="266" spans="3:4" s="7" customFormat="1" ht="11.4" x14ac:dyDescent="0.2">
      <c r="C266" s="106"/>
      <c r="D266" s="107"/>
    </row>
    <row r="267" spans="3:4" s="7" customFormat="1" ht="11.4" x14ac:dyDescent="0.2">
      <c r="C267" s="106"/>
      <c r="D267" s="107"/>
    </row>
    <row r="268" spans="3:4" s="7" customFormat="1" ht="11.4" x14ac:dyDescent="0.2">
      <c r="C268" s="106"/>
      <c r="D268" s="107"/>
    </row>
    <row r="269" spans="3:4" s="7" customFormat="1" ht="11.4" x14ac:dyDescent="0.2">
      <c r="C269" s="106"/>
      <c r="D269" s="107"/>
    </row>
    <row r="270" spans="3:4" s="7" customFormat="1" ht="11.4" x14ac:dyDescent="0.2">
      <c r="C270" s="106"/>
      <c r="D270" s="107"/>
    </row>
    <row r="271" spans="3:4" s="7" customFormat="1" ht="11.4" x14ac:dyDescent="0.2">
      <c r="C271" s="106"/>
      <c r="D271" s="107"/>
    </row>
    <row r="272" spans="3:4" s="7" customFormat="1" ht="11.4" x14ac:dyDescent="0.2">
      <c r="C272" s="106"/>
      <c r="D272" s="107"/>
    </row>
    <row r="273" spans="3:4" s="7" customFormat="1" ht="11.4" x14ac:dyDescent="0.2">
      <c r="C273" s="106"/>
      <c r="D273" s="107"/>
    </row>
    <row r="274" spans="3:4" s="7" customFormat="1" ht="11.4" x14ac:dyDescent="0.2">
      <c r="C274" s="106"/>
      <c r="D274" s="107"/>
    </row>
    <row r="275" spans="3:4" s="7" customFormat="1" ht="11.4" x14ac:dyDescent="0.2">
      <c r="C275" s="106"/>
      <c r="D275" s="107"/>
    </row>
    <row r="276" spans="3:4" s="7" customFormat="1" ht="11.4" x14ac:dyDescent="0.2">
      <c r="C276" s="106"/>
      <c r="D276" s="107"/>
    </row>
    <row r="277" spans="3:4" s="7" customFormat="1" ht="11.4" x14ac:dyDescent="0.2">
      <c r="C277" s="106"/>
      <c r="D277" s="107"/>
    </row>
    <row r="278" spans="3:4" s="7" customFormat="1" ht="11.4" x14ac:dyDescent="0.2">
      <c r="C278" s="106"/>
      <c r="D278" s="107"/>
    </row>
    <row r="279" spans="3:4" s="7" customFormat="1" ht="11.4" x14ac:dyDescent="0.2">
      <c r="C279" s="106"/>
      <c r="D279" s="107"/>
    </row>
    <row r="280" spans="3:4" s="7" customFormat="1" ht="11.4" x14ac:dyDescent="0.2">
      <c r="C280" s="106"/>
      <c r="D280" s="107"/>
    </row>
    <row r="281" spans="3:4" s="7" customFormat="1" ht="11.4" x14ac:dyDescent="0.2">
      <c r="C281" s="106"/>
      <c r="D281" s="107"/>
    </row>
    <row r="282" spans="3:4" s="7" customFormat="1" ht="11.4" x14ac:dyDescent="0.2">
      <c r="C282" s="106"/>
      <c r="D282" s="107"/>
    </row>
    <row r="283" spans="3:4" s="7" customFormat="1" ht="11.4" x14ac:dyDescent="0.2">
      <c r="C283" s="106"/>
      <c r="D283" s="107"/>
    </row>
    <row r="284" spans="3:4" s="7" customFormat="1" ht="11.4" x14ac:dyDescent="0.2">
      <c r="C284" s="106"/>
      <c r="D284" s="107"/>
    </row>
    <row r="285" spans="3:4" s="7" customFormat="1" ht="11.4" x14ac:dyDescent="0.2">
      <c r="C285" s="106"/>
      <c r="D285" s="107"/>
    </row>
    <row r="286" spans="3:4" s="7" customFormat="1" ht="11.4" x14ac:dyDescent="0.2">
      <c r="C286" s="106"/>
      <c r="D286" s="107"/>
    </row>
    <row r="287" spans="3:4" s="7" customFormat="1" ht="11.4" x14ac:dyDescent="0.2">
      <c r="C287" s="106"/>
      <c r="D287" s="107"/>
    </row>
    <row r="288" spans="3:4" s="7" customFormat="1" ht="11.4" x14ac:dyDescent="0.2">
      <c r="C288" s="106"/>
      <c r="D288" s="107"/>
    </row>
    <row r="289" spans="3:4" s="7" customFormat="1" ht="11.4" x14ac:dyDescent="0.2">
      <c r="C289" s="106"/>
      <c r="D289" s="107"/>
    </row>
    <row r="290" spans="3:4" s="7" customFormat="1" ht="11.4" x14ac:dyDescent="0.2">
      <c r="C290" s="106"/>
      <c r="D290" s="107"/>
    </row>
    <row r="291" spans="3:4" s="7" customFormat="1" ht="11.4" x14ac:dyDescent="0.2">
      <c r="C291" s="106"/>
      <c r="D291" s="107"/>
    </row>
    <row r="292" spans="3:4" s="7" customFormat="1" ht="11.4" x14ac:dyDescent="0.2">
      <c r="C292" s="106"/>
      <c r="D292" s="107"/>
    </row>
    <row r="293" spans="3:4" s="7" customFormat="1" ht="11.4" x14ac:dyDescent="0.2">
      <c r="C293" s="106"/>
      <c r="D293" s="107"/>
    </row>
    <row r="294" spans="3:4" s="7" customFormat="1" ht="11.4" x14ac:dyDescent="0.2">
      <c r="C294" s="106"/>
      <c r="D294" s="107"/>
    </row>
    <row r="295" spans="3:4" s="7" customFormat="1" ht="11.4" x14ac:dyDescent="0.2">
      <c r="C295" s="106"/>
      <c r="D295" s="107"/>
    </row>
    <row r="296" spans="3:4" s="7" customFormat="1" ht="11.4" x14ac:dyDescent="0.2">
      <c r="C296" s="106"/>
      <c r="D296" s="107"/>
    </row>
    <row r="297" spans="3:4" s="7" customFormat="1" ht="11.4" x14ac:dyDescent="0.2">
      <c r="C297" s="106"/>
      <c r="D297" s="107"/>
    </row>
    <row r="298" spans="3:4" s="7" customFormat="1" ht="11.4" x14ac:dyDescent="0.2">
      <c r="C298" s="106"/>
      <c r="D298" s="107"/>
    </row>
    <row r="299" spans="3:4" s="7" customFormat="1" ht="11.4" x14ac:dyDescent="0.2">
      <c r="C299" s="106"/>
      <c r="D299" s="107"/>
    </row>
    <row r="300" spans="3:4" s="7" customFormat="1" ht="11.4" x14ac:dyDescent="0.2">
      <c r="C300" s="106"/>
      <c r="D300" s="107"/>
    </row>
    <row r="301" spans="3:4" s="7" customFormat="1" ht="11.4" x14ac:dyDescent="0.2">
      <c r="C301" s="106"/>
      <c r="D301" s="107"/>
    </row>
    <row r="302" spans="3:4" s="7" customFormat="1" ht="11.4" x14ac:dyDescent="0.2">
      <c r="C302" s="106"/>
      <c r="D302" s="107"/>
    </row>
    <row r="303" spans="3:4" s="7" customFormat="1" ht="11.4" x14ac:dyDescent="0.2">
      <c r="C303" s="106"/>
      <c r="D303" s="107"/>
    </row>
    <row r="304" spans="3:4" s="7" customFormat="1" ht="11.4" x14ac:dyDescent="0.2">
      <c r="C304" s="106"/>
      <c r="D304" s="107"/>
    </row>
    <row r="305" spans="3:4" s="7" customFormat="1" ht="11.4" x14ac:dyDescent="0.2">
      <c r="C305" s="106"/>
      <c r="D305" s="107"/>
    </row>
    <row r="306" spans="3:4" s="7" customFormat="1" ht="11.4" x14ac:dyDescent="0.2">
      <c r="C306" s="106"/>
      <c r="D306" s="107"/>
    </row>
    <row r="307" spans="3:4" s="7" customFormat="1" ht="11.4" x14ac:dyDescent="0.2">
      <c r="C307" s="106"/>
      <c r="D307" s="107"/>
    </row>
    <row r="308" spans="3:4" s="7" customFormat="1" ht="11.4" x14ac:dyDescent="0.2">
      <c r="C308" s="106"/>
      <c r="D308" s="107"/>
    </row>
    <row r="309" spans="3:4" s="7" customFormat="1" ht="11.4" x14ac:dyDescent="0.2">
      <c r="C309" s="106"/>
      <c r="D309" s="107"/>
    </row>
    <row r="310" spans="3:4" s="7" customFormat="1" ht="11.4" x14ac:dyDescent="0.2">
      <c r="C310" s="106"/>
      <c r="D310" s="107"/>
    </row>
    <row r="311" spans="3:4" s="7" customFormat="1" ht="11.4" x14ac:dyDescent="0.2">
      <c r="C311" s="106"/>
      <c r="D311" s="107"/>
    </row>
    <row r="312" spans="3:4" s="7" customFormat="1" ht="11.4" x14ac:dyDescent="0.2">
      <c r="C312" s="106"/>
      <c r="D312" s="107"/>
    </row>
    <row r="313" spans="3:4" s="7" customFormat="1" ht="11.4" x14ac:dyDescent="0.2">
      <c r="C313" s="106"/>
      <c r="D313" s="107"/>
    </row>
    <row r="314" spans="3:4" s="7" customFormat="1" ht="11.4" x14ac:dyDescent="0.2">
      <c r="C314" s="106"/>
      <c r="D314" s="107"/>
    </row>
    <row r="315" spans="3:4" s="7" customFormat="1" ht="11.4" x14ac:dyDescent="0.2">
      <c r="C315" s="106"/>
      <c r="D315" s="107"/>
    </row>
    <row r="316" spans="3:4" s="7" customFormat="1" ht="11.4" x14ac:dyDescent="0.2">
      <c r="C316" s="106"/>
      <c r="D316" s="107"/>
    </row>
    <row r="317" spans="3:4" s="7" customFormat="1" ht="11.4" x14ac:dyDescent="0.2">
      <c r="C317" s="106"/>
      <c r="D317" s="107"/>
    </row>
    <row r="318" spans="3:4" s="7" customFormat="1" ht="11.4" x14ac:dyDescent="0.2">
      <c r="C318" s="106"/>
      <c r="D318" s="107"/>
    </row>
    <row r="319" spans="3:4" s="7" customFormat="1" ht="11.4" x14ac:dyDescent="0.2">
      <c r="C319" s="106"/>
      <c r="D319" s="107"/>
    </row>
    <row r="320" spans="3:4" s="7" customFormat="1" ht="11.4" x14ac:dyDescent="0.2">
      <c r="C320" s="106"/>
      <c r="D320" s="107"/>
    </row>
    <row r="321" spans="3:4" s="7" customFormat="1" ht="11.4" x14ac:dyDescent="0.2">
      <c r="C321" s="106"/>
      <c r="D321" s="107"/>
    </row>
    <row r="322" spans="3:4" s="7" customFormat="1" ht="11.4" x14ac:dyDescent="0.2">
      <c r="C322" s="106"/>
      <c r="D322" s="107"/>
    </row>
    <row r="323" spans="3:4" s="7" customFormat="1" ht="11.4" x14ac:dyDescent="0.2">
      <c r="C323" s="106"/>
      <c r="D323" s="107"/>
    </row>
    <row r="324" spans="3:4" s="7" customFormat="1" ht="11.4" x14ac:dyDescent="0.2">
      <c r="C324" s="106"/>
      <c r="D324" s="107"/>
    </row>
    <row r="325" spans="3:4" s="7" customFormat="1" ht="11.4" x14ac:dyDescent="0.2">
      <c r="C325" s="106"/>
      <c r="D325" s="107"/>
    </row>
    <row r="326" spans="3:4" s="7" customFormat="1" ht="11.4" x14ac:dyDescent="0.2">
      <c r="C326" s="106"/>
      <c r="D326" s="107"/>
    </row>
    <row r="327" spans="3:4" s="7" customFormat="1" ht="11.4" x14ac:dyDescent="0.2">
      <c r="C327" s="106"/>
      <c r="D327" s="107"/>
    </row>
    <row r="328" spans="3:4" s="7" customFormat="1" ht="11.4" x14ac:dyDescent="0.2">
      <c r="C328" s="106"/>
      <c r="D328" s="107"/>
    </row>
    <row r="329" spans="3:4" s="7" customFormat="1" ht="11.4" x14ac:dyDescent="0.2">
      <c r="C329" s="106"/>
      <c r="D329" s="107"/>
    </row>
    <row r="330" spans="3:4" s="7" customFormat="1" ht="11.4" x14ac:dyDescent="0.2">
      <c r="C330" s="106"/>
      <c r="D330" s="107"/>
    </row>
    <row r="331" spans="3:4" s="7" customFormat="1" ht="11.4" x14ac:dyDescent="0.2">
      <c r="C331" s="106"/>
      <c r="D331" s="107"/>
    </row>
    <row r="332" spans="3:4" s="7" customFormat="1" ht="11.4" x14ac:dyDescent="0.2">
      <c r="C332" s="106"/>
      <c r="D332" s="107"/>
    </row>
    <row r="333" spans="3:4" s="7" customFormat="1" ht="11.4" x14ac:dyDescent="0.2">
      <c r="C333" s="106"/>
      <c r="D333" s="107"/>
    </row>
    <row r="334" spans="3:4" s="7" customFormat="1" ht="11.4" x14ac:dyDescent="0.2">
      <c r="C334" s="106"/>
      <c r="D334" s="107"/>
    </row>
    <row r="335" spans="3:4" s="7" customFormat="1" ht="11.4" x14ac:dyDescent="0.2">
      <c r="C335" s="106"/>
      <c r="D335" s="107"/>
    </row>
    <row r="336" spans="3:4" s="7" customFormat="1" ht="11.4" x14ac:dyDescent="0.2">
      <c r="C336" s="106"/>
      <c r="D336" s="107"/>
    </row>
    <row r="337" spans="3:4" s="7" customFormat="1" ht="11.4" x14ac:dyDescent="0.2">
      <c r="C337" s="106"/>
      <c r="D337" s="107"/>
    </row>
    <row r="338" spans="3:4" s="7" customFormat="1" ht="11.4" x14ac:dyDescent="0.2">
      <c r="C338" s="106"/>
      <c r="D338" s="107"/>
    </row>
    <row r="339" spans="3:4" s="7" customFormat="1" ht="11.4" x14ac:dyDescent="0.2">
      <c r="C339" s="106"/>
      <c r="D339" s="107"/>
    </row>
    <row r="340" spans="3:4" s="7" customFormat="1" ht="11.4" x14ac:dyDescent="0.2">
      <c r="C340" s="106"/>
      <c r="D340" s="107"/>
    </row>
    <row r="341" spans="3:4" s="7" customFormat="1" ht="11.4" x14ac:dyDescent="0.2">
      <c r="C341" s="106"/>
      <c r="D341" s="107"/>
    </row>
    <row r="342" spans="3:4" s="7" customFormat="1" ht="11.4" x14ac:dyDescent="0.2">
      <c r="C342" s="106"/>
      <c r="D342" s="107"/>
    </row>
    <row r="343" spans="3:4" s="7" customFormat="1" ht="11.4" x14ac:dyDescent="0.2">
      <c r="C343" s="106"/>
      <c r="D343" s="107"/>
    </row>
    <row r="344" spans="3:4" s="7" customFormat="1" ht="11.4" x14ac:dyDescent="0.2">
      <c r="C344" s="106"/>
      <c r="D344" s="107"/>
    </row>
    <row r="345" spans="3:4" s="7" customFormat="1" ht="11.4" x14ac:dyDescent="0.2">
      <c r="C345" s="106"/>
      <c r="D345" s="107"/>
    </row>
    <row r="346" spans="3:4" s="7" customFormat="1" ht="11.4" x14ac:dyDescent="0.2">
      <c r="C346" s="106"/>
      <c r="D346" s="107"/>
    </row>
    <row r="347" spans="3:4" s="7" customFormat="1" ht="11.4" x14ac:dyDescent="0.2">
      <c r="C347" s="106"/>
      <c r="D347" s="107"/>
    </row>
    <row r="348" spans="3:4" s="7" customFormat="1" ht="11.4" x14ac:dyDescent="0.2">
      <c r="C348" s="106"/>
      <c r="D348" s="107"/>
    </row>
    <row r="349" spans="3:4" s="7" customFormat="1" ht="11.4" x14ac:dyDescent="0.2">
      <c r="C349" s="106"/>
      <c r="D349" s="107"/>
    </row>
    <row r="350" spans="3:4" s="7" customFormat="1" ht="11.4" x14ac:dyDescent="0.2">
      <c r="C350" s="106"/>
      <c r="D350" s="107"/>
    </row>
    <row r="351" spans="3:4" s="7" customFormat="1" ht="11.4" x14ac:dyDescent="0.2">
      <c r="C351" s="106"/>
      <c r="D351" s="107"/>
    </row>
    <row r="352" spans="3:4" s="7" customFormat="1" ht="11.4" x14ac:dyDescent="0.2">
      <c r="C352" s="106"/>
      <c r="D352" s="107"/>
    </row>
    <row r="353" spans="3:4" s="7" customFormat="1" ht="11.4" x14ac:dyDescent="0.2">
      <c r="C353" s="106"/>
      <c r="D353" s="107"/>
    </row>
    <row r="354" spans="3:4" s="7" customFormat="1" ht="11.4" x14ac:dyDescent="0.2">
      <c r="C354" s="106"/>
      <c r="D354" s="107"/>
    </row>
    <row r="355" spans="3:4" s="7" customFormat="1" ht="11.4" x14ac:dyDescent="0.2">
      <c r="C355" s="106"/>
      <c r="D355" s="107"/>
    </row>
    <row r="356" spans="3:4" s="7" customFormat="1" ht="11.4" x14ac:dyDescent="0.2">
      <c r="C356" s="106"/>
      <c r="D356" s="107"/>
    </row>
    <row r="357" spans="3:4" s="7" customFormat="1" ht="11.4" x14ac:dyDescent="0.2">
      <c r="C357" s="106"/>
      <c r="D357" s="107"/>
    </row>
    <row r="358" spans="3:4" s="7" customFormat="1" ht="11.4" x14ac:dyDescent="0.2">
      <c r="C358" s="106"/>
      <c r="D358" s="107"/>
    </row>
    <row r="359" spans="3:4" s="7" customFormat="1" ht="11.4" x14ac:dyDescent="0.2">
      <c r="C359" s="106"/>
      <c r="D359" s="107"/>
    </row>
    <row r="360" spans="3:4" s="7" customFormat="1" ht="11.4" x14ac:dyDescent="0.2">
      <c r="C360" s="106"/>
      <c r="D360" s="107"/>
    </row>
    <row r="361" spans="3:4" s="7" customFormat="1" ht="11.4" x14ac:dyDescent="0.2">
      <c r="C361" s="106"/>
      <c r="D361" s="107"/>
    </row>
    <row r="362" spans="3:4" s="7" customFormat="1" ht="11.4" x14ac:dyDescent="0.2">
      <c r="C362" s="106"/>
      <c r="D362" s="107"/>
    </row>
    <row r="363" spans="3:4" s="7" customFormat="1" ht="11.4" x14ac:dyDescent="0.2">
      <c r="C363" s="106"/>
      <c r="D363" s="107"/>
    </row>
    <row r="364" spans="3:4" s="7" customFormat="1" ht="11.4" x14ac:dyDescent="0.2">
      <c r="C364" s="106"/>
      <c r="D364" s="107"/>
    </row>
    <row r="365" spans="3:4" s="7" customFormat="1" ht="11.4" x14ac:dyDescent="0.2">
      <c r="C365" s="106"/>
      <c r="D365" s="107"/>
    </row>
    <row r="366" spans="3:4" s="7" customFormat="1" ht="11.4" x14ac:dyDescent="0.2">
      <c r="C366" s="106"/>
      <c r="D366" s="107"/>
    </row>
    <row r="367" spans="3:4" s="7" customFormat="1" ht="11.4" x14ac:dyDescent="0.2">
      <c r="C367" s="106"/>
      <c r="D367" s="107"/>
    </row>
    <row r="368" spans="3:4" s="7" customFormat="1" ht="11.4" x14ac:dyDescent="0.2">
      <c r="C368" s="106"/>
      <c r="D368" s="107"/>
    </row>
    <row r="369" spans="3:4" s="7" customFormat="1" ht="11.4" x14ac:dyDescent="0.2">
      <c r="C369" s="106"/>
      <c r="D369" s="107"/>
    </row>
    <row r="370" spans="3:4" s="7" customFormat="1" ht="11.4" x14ac:dyDescent="0.2">
      <c r="C370" s="106"/>
      <c r="D370" s="107"/>
    </row>
    <row r="371" spans="3:4" s="7" customFormat="1" ht="11.4" x14ac:dyDescent="0.2">
      <c r="C371" s="106"/>
      <c r="D371" s="107"/>
    </row>
    <row r="372" spans="3:4" s="7" customFormat="1" ht="11.4" x14ac:dyDescent="0.2">
      <c r="C372" s="106"/>
      <c r="D372" s="107"/>
    </row>
    <row r="373" spans="3:4" s="7" customFormat="1" ht="11.4" x14ac:dyDescent="0.2">
      <c r="C373" s="106"/>
      <c r="D373" s="107"/>
    </row>
    <row r="374" spans="3:4" s="7" customFormat="1" ht="11.4" x14ac:dyDescent="0.2">
      <c r="C374" s="106"/>
      <c r="D374" s="107"/>
    </row>
    <row r="375" spans="3:4" s="7" customFormat="1" ht="11.4" x14ac:dyDescent="0.2">
      <c r="C375" s="106"/>
      <c r="D375" s="107"/>
    </row>
    <row r="376" spans="3:4" s="7" customFormat="1" ht="11.4" x14ac:dyDescent="0.2">
      <c r="C376" s="106"/>
      <c r="D376" s="107"/>
    </row>
    <row r="377" spans="3:4" s="7" customFormat="1" ht="11.4" x14ac:dyDescent="0.2">
      <c r="C377" s="106"/>
      <c r="D377" s="107"/>
    </row>
    <row r="378" spans="3:4" s="7" customFormat="1" ht="11.4" x14ac:dyDescent="0.2">
      <c r="C378" s="106"/>
      <c r="D378" s="107"/>
    </row>
    <row r="379" spans="3:4" s="7" customFormat="1" ht="11.4" x14ac:dyDescent="0.2">
      <c r="C379" s="106"/>
      <c r="D379" s="107"/>
    </row>
    <row r="380" spans="3:4" s="7" customFormat="1" ht="11.4" x14ac:dyDescent="0.2">
      <c r="C380" s="106"/>
      <c r="D380" s="107"/>
    </row>
    <row r="381" spans="3:4" s="7" customFormat="1" ht="11.4" x14ac:dyDescent="0.2">
      <c r="C381" s="106"/>
      <c r="D381" s="107"/>
    </row>
    <row r="382" spans="3:4" s="7" customFormat="1" ht="11.4" x14ac:dyDescent="0.2">
      <c r="C382" s="106"/>
      <c r="D382" s="107"/>
    </row>
    <row r="383" spans="3:4" s="7" customFormat="1" ht="11.4" x14ac:dyDescent="0.2">
      <c r="C383" s="106"/>
      <c r="D383" s="107"/>
    </row>
    <row r="384" spans="3:4" s="7" customFormat="1" ht="11.4" x14ac:dyDescent="0.2">
      <c r="C384" s="106"/>
      <c r="D384" s="107"/>
    </row>
    <row r="385" spans="3:4" s="7" customFormat="1" ht="11.4" x14ac:dyDescent="0.2">
      <c r="C385" s="106"/>
      <c r="D385" s="107"/>
    </row>
    <row r="386" spans="3:4" s="7" customFormat="1" ht="11.4" x14ac:dyDescent="0.2">
      <c r="C386" s="106"/>
      <c r="D386" s="107"/>
    </row>
    <row r="387" spans="3:4" s="7" customFormat="1" ht="11.4" x14ac:dyDescent="0.2">
      <c r="C387" s="106"/>
      <c r="D387" s="107"/>
    </row>
    <row r="388" spans="3:4" s="7" customFormat="1" ht="11.4" x14ac:dyDescent="0.2">
      <c r="C388" s="106"/>
      <c r="D388" s="107"/>
    </row>
    <row r="389" spans="3:4" s="7" customFormat="1" ht="11.4" x14ac:dyDescent="0.2">
      <c r="C389" s="106"/>
      <c r="D389" s="107"/>
    </row>
    <row r="390" spans="3:4" s="7" customFormat="1" ht="11.4" x14ac:dyDescent="0.2">
      <c r="C390" s="106"/>
      <c r="D390" s="107"/>
    </row>
    <row r="391" spans="3:4" s="7" customFormat="1" ht="11.4" x14ac:dyDescent="0.2">
      <c r="C391" s="106"/>
      <c r="D391" s="107"/>
    </row>
    <row r="392" spans="3:4" s="7" customFormat="1" ht="11.4" x14ac:dyDescent="0.2">
      <c r="C392" s="106"/>
      <c r="D392" s="107"/>
    </row>
    <row r="393" spans="3:4" s="7" customFormat="1" ht="11.4" x14ac:dyDescent="0.2">
      <c r="C393" s="106"/>
      <c r="D393" s="107"/>
    </row>
    <row r="394" spans="3:4" s="7" customFormat="1" ht="11.4" x14ac:dyDescent="0.2">
      <c r="C394" s="106"/>
      <c r="D394" s="107"/>
    </row>
    <row r="395" spans="3:4" s="7" customFormat="1" ht="11.4" x14ac:dyDescent="0.2">
      <c r="C395" s="106"/>
      <c r="D395" s="107"/>
    </row>
    <row r="396" spans="3:4" s="7" customFormat="1" ht="11.4" x14ac:dyDescent="0.2">
      <c r="C396" s="106"/>
      <c r="D396" s="107"/>
    </row>
    <row r="397" spans="3:4" s="7" customFormat="1" ht="11.4" x14ac:dyDescent="0.2">
      <c r="C397" s="106"/>
      <c r="D397" s="107"/>
    </row>
    <row r="398" spans="3:4" s="7" customFormat="1" ht="11.4" x14ac:dyDescent="0.2">
      <c r="C398" s="106"/>
      <c r="D398" s="107"/>
    </row>
    <row r="399" spans="3:4" s="7" customFormat="1" ht="11.4" x14ac:dyDescent="0.2">
      <c r="C399" s="106"/>
      <c r="D399" s="107"/>
    </row>
    <row r="400" spans="3:4" s="7" customFormat="1" ht="11.4" x14ac:dyDescent="0.2">
      <c r="C400" s="106"/>
      <c r="D400" s="107"/>
    </row>
    <row r="401" spans="3:4" s="7" customFormat="1" ht="11.4" x14ac:dyDescent="0.2">
      <c r="C401" s="106"/>
      <c r="D401" s="107"/>
    </row>
    <row r="402" spans="3:4" s="7" customFormat="1" ht="11.4" x14ac:dyDescent="0.2">
      <c r="C402" s="106"/>
      <c r="D402" s="107"/>
    </row>
    <row r="403" spans="3:4" s="7" customFormat="1" ht="11.4" x14ac:dyDescent="0.2">
      <c r="C403" s="106"/>
      <c r="D403" s="107"/>
    </row>
    <row r="404" spans="3:4" s="7" customFormat="1" ht="11.4" x14ac:dyDescent="0.2">
      <c r="C404" s="106"/>
      <c r="D404" s="107"/>
    </row>
    <row r="405" spans="3:4" s="7" customFormat="1" ht="11.4" x14ac:dyDescent="0.2">
      <c r="C405" s="106"/>
      <c r="D405" s="107"/>
    </row>
    <row r="406" spans="3:4" s="7" customFormat="1" ht="11.4" x14ac:dyDescent="0.2">
      <c r="C406" s="106"/>
      <c r="D406" s="107"/>
    </row>
    <row r="407" spans="3:4" s="7" customFormat="1" ht="11.4" x14ac:dyDescent="0.2">
      <c r="C407" s="106"/>
      <c r="D407" s="107"/>
    </row>
    <row r="408" spans="3:4" s="7" customFormat="1" ht="11.4" x14ac:dyDescent="0.2">
      <c r="C408" s="106"/>
      <c r="D408" s="107"/>
    </row>
    <row r="409" spans="3:4" s="7" customFormat="1" ht="11.4" x14ac:dyDescent="0.2">
      <c r="C409" s="106"/>
      <c r="D409" s="107"/>
    </row>
    <row r="410" spans="3:4" s="7" customFormat="1" ht="11.4" x14ac:dyDescent="0.2">
      <c r="C410" s="106"/>
      <c r="D410" s="107"/>
    </row>
    <row r="411" spans="3:4" s="7" customFormat="1" ht="11.4" x14ac:dyDescent="0.2">
      <c r="C411" s="106"/>
      <c r="D411" s="107"/>
    </row>
    <row r="412" spans="3:4" s="7" customFormat="1" ht="11.4" x14ac:dyDescent="0.2">
      <c r="C412" s="106"/>
      <c r="D412" s="107"/>
    </row>
    <row r="413" spans="3:4" s="7" customFormat="1" ht="11.4" x14ac:dyDescent="0.2">
      <c r="C413" s="106"/>
      <c r="D413" s="107"/>
    </row>
    <row r="414" spans="3:4" s="7" customFormat="1" ht="11.4" x14ac:dyDescent="0.2">
      <c r="C414" s="106"/>
      <c r="D414" s="107"/>
    </row>
    <row r="415" spans="3:4" s="7" customFormat="1" ht="11.4" x14ac:dyDescent="0.2">
      <c r="C415" s="106"/>
      <c r="D415" s="107"/>
    </row>
    <row r="416" spans="3:4" s="7" customFormat="1" ht="11.4" x14ac:dyDescent="0.2">
      <c r="C416" s="106"/>
      <c r="D416" s="107"/>
    </row>
    <row r="417" spans="3:4" s="7" customFormat="1" ht="11.4" x14ac:dyDescent="0.2">
      <c r="C417" s="106"/>
      <c r="D417" s="107"/>
    </row>
    <row r="418" spans="3:4" s="7" customFormat="1" ht="11.4" x14ac:dyDescent="0.2">
      <c r="C418" s="106"/>
      <c r="D418" s="107"/>
    </row>
    <row r="419" spans="3:4" s="7" customFormat="1" ht="11.4" x14ac:dyDescent="0.2">
      <c r="C419" s="106"/>
      <c r="D419" s="107"/>
    </row>
    <row r="420" spans="3:4" s="7" customFormat="1" ht="11.4" x14ac:dyDescent="0.2">
      <c r="C420" s="106"/>
      <c r="D420" s="107"/>
    </row>
    <row r="421" spans="3:4" s="7" customFormat="1" ht="11.4" x14ac:dyDescent="0.2">
      <c r="C421" s="106"/>
      <c r="D421" s="107"/>
    </row>
    <row r="422" spans="3:4" s="7" customFormat="1" ht="11.4" x14ac:dyDescent="0.2">
      <c r="C422" s="106"/>
      <c r="D422" s="107"/>
    </row>
    <row r="423" spans="3:4" s="7" customFormat="1" ht="11.4" x14ac:dyDescent="0.2">
      <c r="C423" s="106"/>
      <c r="D423" s="107"/>
    </row>
    <row r="424" spans="3:4" s="7" customFormat="1" ht="11.4" x14ac:dyDescent="0.2">
      <c r="C424" s="106"/>
      <c r="D424" s="107"/>
    </row>
    <row r="425" spans="3:4" s="7" customFormat="1" ht="11.4" x14ac:dyDescent="0.2">
      <c r="C425" s="106"/>
      <c r="D425" s="107"/>
    </row>
    <row r="426" spans="3:4" s="7" customFormat="1" ht="11.4" x14ac:dyDescent="0.2">
      <c r="C426" s="106"/>
      <c r="D426" s="107"/>
    </row>
    <row r="427" spans="3:4" s="7" customFormat="1" ht="11.4" x14ac:dyDescent="0.2">
      <c r="C427" s="106"/>
      <c r="D427" s="107"/>
    </row>
    <row r="428" spans="3:4" s="7" customFormat="1" ht="11.4" x14ac:dyDescent="0.2">
      <c r="C428" s="106"/>
      <c r="D428" s="107"/>
    </row>
    <row r="429" spans="3:4" s="7" customFormat="1" ht="11.4" x14ac:dyDescent="0.2">
      <c r="C429" s="106"/>
      <c r="D429" s="107"/>
    </row>
    <row r="430" spans="3:4" s="7" customFormat="1" ht="11.4" x14ac:dyDescent="0.2">
      <c r="C430" s="106"/>
      <c r="D430" s="107"/>
    </row>
    <row r="431" spans="3:4" s="7" customFormat="1" ht="11.4" x14ac:dyDescent="0.2">
      <c r="C431" s="106"/>
      <c r="D431" s="107"/>
    </row>
    <row r="432" spans="3:4" s="7" customFormat="1" ht="11.4" x14ac:dyDescent="0.2">
      <c r="C432" s="106"/>
      <c r="D432" s="107"/>
    </row>
    <row r="433" spans="3:4" s="7" customFormat="1" ht="11.4" x14ac:dyDescent="0.2">
      <c r="C433" s="106"/>
      <c r="D433" s="107"/>
    </row>
    <row r="434" spans="3:4" s="7" customFormat="1" ht="11.4" x14ac:dyDescent="0.2">
      <c r="C434" s="106"/>
      <c r="D434" s="107"/>
    </row>
    <row r="435" spans="3:4" s="7" customFormat="1" ht="11.4" x14ac:dyDescent="0.2">
      <c r="C435" s="106"/>
      <c r="D435" s="107"/>
    </row>
    <row r="436" spans="3:4" s="7" customFormat="1" ht="11.4" x14ac:dyDescent="0.2">
      <c r="C436" s="106"/>
      <c r="D436" s="107"/>
    </row>
    <row r="437" spans="3:4" s="7" customFormat="1" ht="11.4" x14ac:dyDescent="0.2">
      <c r="C437" s="106"/>
      <c r="D437" s="107"/>
    </row>
    <row r="438" spans="3:4" s="7" customFormat="1" ht="11.4" x14ac:dyDescent="0.2">
      <c r="C438" s="106"/>
      <c r="D438" s="107"/>
    </row>
    <row r="439" spans="3:4" s="7" customFormat="1" ht="11.4" x14ac:dyDescent="0.2">
      <c r="C439" s="106"/>
      <c r="D439" s="107"/>
    </row>
    <row r="440" spans="3:4" s="7" customFormat="1" ht="11.4" x14ac:dyDescent="0.2">
      <c r="C440" s="106"/>
      <c r="D440" s="107"/>
    </row>
    <row r="441" spans="3:4" s="7" customFormat="1" ht="11.4" x14ac:dyDescent="0.2">
      <c r="C441" s="106"/>
      <c r="D441" s="107"/>
    </row>
    <row r="442" spans="3:4" s="7" customFormat="1" ht="11.4" x14ac:dyDescent="0.2">
      <c r="C442" s="106"/>
      <c r="D442" s="107"/>
    </row>
    <row r="443" spans="3:4" s="7" customFormat="1" ht="11.4" x14ac:dyDescent="0.2">
      <c r="C443" s="106"/>
      <c r="D443" s="107"/>
    </row>
    <row r="444" spans="3:4" s="7" customFormat="1" ht="11.4" x14ac:dyDescent="0.2">
      <c r="C444" s="106"/>
      <c r="D444" s="107"/>
    </row>
    <row r="445" spans="3:4" s="7" customFormat="1" ht="11.4" x14ac:dyDescent="0.2">
      <c r="C445" s="106"/>
      <c r="D445" s="107"/>
    </row>
    <row r="446" spans="3:4" s="7" customFormat="1" ht="11.4" x14ac:dyDescent="0.2">
      <c r="C446" s="106"/>
      <c r="D446" s="107"/>
    </row>
    <row r="447" spans="3:4" s="7" customFormat="1" ht="11.4" x14ac:dyDescent="0.2">
      <c r="C447" s="106"/>
      <c r="D447" s="107"/>
    </row>
    <row r="448" spans="3:4" s="7" customFormat="1" ht="11.4" x14ac:dyDescent="0.2">
      <c r="C448" s="106"/>
      <c r="D448" s="107"/>
    </row>
    <row r="449" spans="3:4" s="7" customFormat="1" ht="11.4" x14ac:dyDescent="0.2">
      <c r="C449" s="106"/>
      <c r="D449" s="107"/>
    </row>
    <row r="450" spans="3:4" s="7" customFormat="1" ht="11.4" x14ac:dyDescent="0.2">
      <c r="C450" s="106"/>
      <c r="D450" s="107"/>
    </row>
    <row r="451" spans="3:4" s="7" customFormat="1" ht="11.4" x14ac:dyDescent="0.2">
      <c r="C451" s="106"/>
      <c r="D451" s="107"/>
    </row>
    <row r="452" spans="3:4" s="7" customFormat="1" ht="11.4" x14ac:dyDescent="0.2">
      <c r="C452" s="106"/>
      <c r="D452" s="107"/>
    </row>
    <row r="453" spans="3:4" s="7" customFormat="1" ht="11.4" x14ac:dyDescent="0.2">
      <c r="C453" s="106"/>
      <c r="D453" s="107"/>
    </row>
    <row r="454" spans="3:4" s="7" customFormat="1" ht="11.4" x14ac:dyDescent="0.2">
      <c r="C454" s="106"/>
      <c r="D454" s="107"/>
    </row>
    <row r="455" spans="3:4" s="7" customFormat="1" ht="11.4" x14ac:dyDescent="0.2">
      <c r="C455" s="106"/>
      <c r="D455" s="107"/>
    </row>
    <row r="456" spans="3:4" s="7" customFormat="1" ht="11.4" x14ac:dyDescent="0.2">
      <c r="C456" s="106"/>
      <c r="D456" s="107"/>
    </row>
    <row r="457" spans="3:4" s="7" customFormat="1" ht="11.4" x14ac:dyDescent="0.2">
      <c r="C457" s="106"/>
      <c r="D457" s="107"/>
    </row>
    <row r="458" spans="3:4" s="7" customFormat="1" ht="11.4" x14ac:dyDescent="0.2">
      <c r="C458" s="106"/>
      <c r="D458" s="107"/>
    </row>
    <row r="459" spans="3:4" s="7" customFormat="1" ht="11.4" x14ac:dyDescent="0.2">
      <c r="C459" s="106"/>
      <c r="D459" s="107"/>
    </row>
    <row r="460" spans="3:4" s="7" customFormat="1" ht="11.4" x14ac:dyDescent="0.2">
      <c r="C460" s="106"/>
      <c r="D460" s="107"/>
    </row>
    <row r="461" spans="3:4" s="7" customFormat="1" ht="11.4" x14ac:dyDescent="0.2">
      <c r="C461" s="106"/>
      <c r="D461" s="107"/>
    </row>
    <row r="462" spans="3:4" s="7" customFormat="1" ht="11.4" x14ac:dyDescent="0.2">
      <c r="C462" s="106"/>
      <c r="D462" s="107"/>
    </row>
    <row r="463" spans="3:4" s="7" customFormat="1" ht="11.4" x14ac:dyDescent="0.2">
      <c r="C463" s="106"/>
      <c r="D463" s="107"/>
    </row>
    <row r="464" spans="3:4" s="7" customFormat="1" ht="11.4" x14ac:dyDescent="0.2">
      <c r="C464" s="106"/>
      <c r="D464" s="107"/>
    </row>
    <row r="465" spans="3:4" s="7" customFormat="1" ht="11.4" x14ac:dyDescent="0.2">
      <c r="C465" s="106"/>
      <c r="D465" s="107"/>
    </row>
    <row r="466" spans="3:4" s="7" customFormat="1" ht="11.4" x14ac:dyDescent="0.2">
      <c r="C466" s="106"/>
      <c r="D466" s="107"/>
    </row>
    <row r="467" spans="3:4" s="7" customFormat="1" ht="11.4" x14ac:dyDescent="0.2">
      <c r="C467" s="106"/>
      <c r="D467" s="107"/>
    </row>
    <row r="468" spans="3:4" s="7" customFormat="1" ht="11.4" x14ac:dyDescent="0.2">
      <c r="C468" s="106"/>
      <c r="D468" s="107"/>
    </row>
    <row r="469" spans="3:4" s="7" customFormat="1" ht="11.4" x14ac:dyDescent="0.2">
      <c r="C469" s="106"/>
      <c r="D469" s="107"/>
    </row>
    <row r="470" spans="3:4" s="7" customFormat="1" ht="11.4" x14ac:dyDescent="0.2">
      <c r="C470" s="106"/>
      <c r="D470" s="107"/>
    </row>
    <row r="471" spans="3:4" s="7" customFormat="1" ht="11.4" x14ac:dyDescent="0.2">
      <c r="C471" s="106"/>
      <c r="D471" s="107"/>
    </row>
    <row r="472" spans="3:4" s="7" customFormat="1" ht="11.4" x14ac:dyDescent="0.2">
      <c r="C472" s="106"/>
      <c r="D472" s="107"/>
    </row>
    <row r="473" spans="3:4" s="7" customFormat="1" ht="11.4" x14ac:dyDescent="0.2">
      <c r="C473" s="106"/>
      <c r="D473" s="107"/>
    </row>
    <row r="474" spans="3:4" s="7" customFormat="1" ht="11.4" x14ac:dyDescent="0.2">
      <c r="C474" s="106"/>
      <c r="D474" s="107"/>
    </row>
    <row r="475" spans="3:4" s="7" customFormat="1" ht="11.4" x14ac:dyDescent="0.2">
      <c r="C475" s="106"/>
      <c r="D475" s="107"/>
    </row>
    <row r="476" spans="3:4" s="7" customFormat="1" ht="11.4" x14ac:dyDescent="0.2">
      <c r="C476" s="106"/>
      <c r="D476" s="107"/>
    </row>
    <row r="477" spans="3:4" s="7" customFormat="1" ht="11.4" x14ac:dyDescent="0.2">
      <c r="C477" s="106"/>
      <c r="D477" s="107"/>
    </row>
    <row r="478" spans="3:4" s="7" customFormat="1" ht="11.4" x14ac:dyDescent="0.2">
      <c r="C478" s="106"/>
      <c r="D478" s="107"/>
    </row>
    <row r="479" spans="3:4" s="7" customFormat="1" ht="11.4" x14ac:dyDescent="0.2">
      <c r="C479" s="106"/>
      <c r="D479" s="107"/>
    </row>
    <row r="480" spans="3:4" s="7" customFormat="1" ht="11.4" x14ac:dyDescent="0.2">
      <c r="C480" s="106"/>
      <c r="D480" s="107"/>
    </row>
    <row r="481" spans="3:4" s="7" customFormat="1" ht="11.4" x14ac:dyDescent="0.2">
      <c r="C481" s="106"/>
      <c r="D481" s="107"/>
    </row>
    <row r="482" spans="3:4" s="7" customFormat="1" ht="11.4" x14ac:dyDescent="0.2">
      <c r="C482" s="106"/>
      <c r="D482" s="107"/>
    </row>
    <row r="483" spans="3:4" s="7" customFormat="1" ht="11.4" x14ac:dyDescent="0.2">
      <c r="C483" s="106"/>
      <c r="D483" s="107"/>
    </row>
    <row r="484" spans="3:4" s="7" customFormat="1" ht="11.4" x14ac:dyDescent="0.2">
      <c r="C484" s="106"/>
      <c r="D484" s="107"/>
    </row>
    <row r="485" spans="3:4" s="7" customFormat="1" ht="11.4" x14ac:dyDescent="0.2">
      <c r="C485" s="106"/>
      <c r="D485" s="107"/>
    </row>
    <row r="486" spans="3:4" s="7" customFormat="1" ht="11.4" x14ac:dyDescent="0.2">
      <c r="C486" s="106"/>
      <c r="D486" s="107"/>
    </row>
    <row r="487" spans="3:4" s="7" customFormat="1" ht="11.4" x14ac:dyDescent="0.2">
      <c r="C487" s="106"/>
      <c r="D487" s="107"/>
    </row>
    <row r="488" spans="3:4" s="7" customFormat="1" ht="11.4" x14ac:dyDescent="0.2">
      <c r="C488" s="106"/>
      <c r="D488" s="107"/>
    </row>
    <row r="489" spans="3:4" s="7" customFormat="1" ht="11.4" x14ac:dyDescent="0.2">
      <c r="C489" s="106"/>
      <c r="D489" s="107"/>
    </row>
    <row r="490" spans="3:4" s="7" customFormat="1" ht="11.4" x14ac:dyDescent="0.2">
      <c r="C490" s="106"/>
      <c r="D490" s="107"/>
    </row>
    <row r="491" spans="3:4" s="7" customFormat="1" ht="11.4" x14ac:dyDescent="0.2">
      <c r="C491" s="106"/>
      <c r="D491" s="107"/>
    </row>
    <row r="492" spans="3:4" s="7" customFormat="1" ht="11.4" x14ac:dyDescent="0.2">
      <c r="C492" s="106"/>
      <c r="D492" s="107"/>
    </row>
    <row r="493" spans="3:4" s="7" customFormat="1" ht="11.4" x14ac:dyDescent="0.2">
      <c r="C493" s="106"/>
      <c r="D493" s="107"/>
    </row>
    <row r="494" spans="3:4" s="7" customFormat="1" ht="11.4" x14ac:dyDescent="0.2">
      <c r="C494" s="106"/>
      <c r="D494" s="107"/>
    </row>
    <row r="495" spans="3:4" s="7" customFormat="1" ht="11.4" x14ac:dyDescent="0.2">
      <c r="C495" s="106"/>
      <c r="D495" s="107"/>
    </row>
    <row r="496" spans="3:4" s="7" customFormat="1" ht="11.4" x14ac:dyDescent="0.2">
      <c r="C496" s="106"/>
      <c r="D496" s="107"/>
    </row>
    <row r="497" spans="3:4" s="7" customFormat="1" ht="11.4" x14ac:dyDescent="0.2">
      <c r="C497" s="106"/>
      <c r="D497" s="107"/>
    </row>
    <row r="498" spans="3:4" s="7" customFormat="1" ht="11.4" x14ac:dyDescent="0.2">
      <c r="C498" s="106"/>
      <c r="D498" s="107"/>
    </row>
    <row r="499" spans="3:4" s="7" customFormat="1" ht="11.4" x14ac:dyDescent="0.2">
      <c r="C499" s="106"/>
      <c r="D499" s="107"/>
    </row>
    <row r="500" spans="3:4" s="7" customFormat="1" ht="11.4" x14ac:dyDescent="0.2">
      <c r="C500" s="106"/>
      <c r="D500" s="107"/>
    </row>
    <row r="501" spans="3:4" s="7" customFormat="1" ht="11.4" x14ac:dyDescent="0.2">
      <c r="C501" s="106"/>
      <c r="D501" s="107"/>
    </row>
    <row r="502" spans="3:4" s="7" customFormat="1" ht="11.4" x14ac:dyDescent="0.2">
      <c r="C502" s="106"/>
      <c r="D502" s="107"/>
    </row>
    <row r="503" spans="3:4" s="7" customFormat="1" ht="11.4" x14ac:dyDescent="0.2">
      <c r="C503" s="106"/>
      <c r="D503" s="107"/>
    </row>
    <row r="504" spans="3:4" s="7" customFormat="1" ht="11.4" x14ac:dyDescent="0.2">
      <c r="C504" s="106"/>
      <c r="D504" s="107"/>
    </row>
    <row r="505" spans="3:4" s="7" customFormat="1" ht="11.4" x14ac:dyDescent="0.2">
      <c r="C505" s="106"/>
      <c r="D505" s="107"/>
    </row>
    <row r="506" spans="3:4" s="7" customFormat="1" ht="11.4" x14ac:dyDescent="0.2">
      <c r="C506" s="106"/>
      <c r="D506" s="107"/>
    </row>
    <row r="507" spans="3:4" s="7" customFormat="1" ht="11.4" x14ac:dyDescent="0.2">
      <c r="C507" s="106"/>
      <c r="D507" s="107"/>
    </row>
    <row r="508" spans="3:4" s="7" customFormat="1" ht="11.4" x14ac:dyDescent="0.2">
      <c r="C508" s="106"/>
      <c r="D508" s="107"/>
    </row>
    <row r="509" spans="3:4" s="7" customFormat="1" ht="11.4" x14ac:dyDescent="0.2">
      <c r="C509" s="106"/>
      <c r="D509" s="107"/>
    </row>
    <row r="510" spans="3:4" s="7" customFormat="1" ht="11.4" x14ac:dyDescent="0.2">
      <c r="C510" s="106"/>
      <c r="D510" s="107"/>
    </row>
    <row r="511" spans="3:4" s="7" customFormat="1" ht="11.4" x14ac:dyDescent="0.2">
      <c r="C511" s="106"/>
      <c r="D511" s="107"/>
    </row>
    <row r="512" spans="3:4" s="7" customFormat="1" ht="11.4" x14ac:dyDescent="0.2">
      <c r="C512" s="106"/>
      <c r="D512" s="107"/>
    </row>
    <row r="513" spans="3:4" s="7" customFormat="1" ht="11.4" x14ac:dyDescent="0.2">
      <c r="C513" s="106"/>
      <c r="D513" s="107"/>
    </row>
    <row r="514" spans="3:4" s="7" customFormat="1" ht="11.4" x14ac:dyDescent="0.2">
      <c r="C514" s="106"/>
      <c r="D514" s="107"/>
    </row>
    <row r="515" spans="3:4" s="7" customFormat="1" ht="11.4" x14ac:dyDescent="0.2">
      <c r="C515" s="106"/>
      <c r="D515" s="107"/>
    </row>
    <row r="516" spans="3:4" s="7" customFormat="1" ht="11.4" x14ac:dyDescent="0.2">
      <c r="C516" s="106"/>
      <c r="D516" s="107"/>
    </row>
    <row r="517" spans="3:4" s="7" customFormat="1" ht="11.4" x14ac:dyDescent="0.2">
      <c r="C517" s="106"/>
      <c r="D517" s="107"/>
    </row>
    <row r="518" spans="3:4" s="7" customFormat="1" ht="11.4" x14ac:dyDescent="0.2">
      <c r="C518" s="106"/>
      <c r="D518" s="107"/>
    </row>
    <row r="519" spans="3:4" s="7" customFormat="1" ht="11.4" x14ac:dyDescent="0.2">
      <c r="C519" s="106"/>
      <c r="D519" s="107"/>
    </row>
    <row r="520" spans="3:4" s="7" customFormat="1" ht="11.4" x14ac:dyDescent="0.2">
      <c r="C520" s="106"/>
      <c r="D520" s="107"/>
    </row>
    <row r="521" spans="3:4" s="7" customFormat="1" ht="11.4" x14ac:dyDescent="0.2">
      <c r="C521" s="106"/>
      <c r="D521" s="107"/>
    </row>
    <row r="522" spans="3:4" s="7" customFormat="1" ht="11.4" x14ac:dyDescent="0.2">
      <c r="C522" s="106"/>
      <c r="D522" s="107"/>
    </row>
    <row r="523" spans="3:4" s="7" customFormat="1" ht="11.4" x14ac:dyDescent="0.2">
      <c r="C523" s="106"/>
      <c r="D523" s="107"/>
    </row>
    <row r="524" spans="3:4" s="7" customFormat="1" ht="11.4" x14ac:dyDescent="0.2">
      <c r="C524" s="106"/>
      <c r="D524" s="107"/>
    </row>
    <row r="525" spans="3:4" s="7" customFormat="1" ht="11.4" x14ac:dyDescent="0.2">
      <c r="C525" s="106"/>
      <c r="D525" s="107"/>
    </row>
    <row r="526" spans="3:4" s="7" customFormat="1" ht="11.4" x14ac:dyDescent="0.2">
      <c r="C526" s="106"/>
      <c r="D526" s="107"/>
    </row>
    <row r="527" spans="3:4" s="7" customFormat="1" ht="11.4" x14ac:dyDescent="0.2">
      <c r="C527" s="106"/>
      <c r="D527" s="107"/>
    </row>
    <row r="528" spans="3:4" s="7" customFormat="1" ht="11.4" x14ac:dyDescent="0.2">
      <c r="C528" s="106"/>
      <c r="D528" s="107"/>
    </row>
    <row r="529" spans="3:4" s="7" customFormat="1" ht="11.4" x14ac:dyDescent="0.2">
      <c r="C529" s="106"/>
      <c r="D529" s="107"/>
    </row>
    <row r="530" spans="3:4" s="7" customFormat="1" ht="11.4" x14ac:dyDescent="0.2">
      <c r="C530" s="106"/>
      <c r="D530" s="107"/>
    </row>
    <row r="531" spans="3:4" s="7" customFormat="1" ht="11.4" x14ac:dyDescent="0.2">
      <c r="C531" s="106"/>
      <c r="D531" s="107"/>
    </row>
    <row r="532" spans="3:4" s="7" customFormat="1" ht="11.4" x14ac:dyDescent="0.2">
      <c r="C532" s="106"/>
      <c r="D532" s="107"/>
    </row>
    <row r="533" spans="3:4" s="7" customFormat="1" ht="11.4" x14ac:dyDescent="0.2">
      <c r="C533" s="106"/>
      <c r="D533" s="107"/>
    </row>
    <row r="534" spans="3:4" s="7" customFormat="1" ht="11.4" x14ac:dyDescent="0.2">
      <c r="C534" s="106"/>
      <c r="D534" s="107"/>
    </row>
    <row r="535" spans="3:4" s="7" customFormat="1" ht="11.4" x14ac:dyDescent="0.2">
      <c r="C535" s="106"/>
      <c r="D535" s="107"/>
    </row>
    <row r="536" spans="3:4" s="7" customFormat="1" ht="11.4" x14ac:dyDescent="0.2">
      <c r="C536" s="106"/>
      <c r="D536" s="107"/>
    </row>
    <row r="537" spans="3:4" s="7" customFormat="1" ht="11.4" x14ac:dyDescent="0.2">
      <c r="C537" s="106"/>
      <c r="D537" s="107"/>
    </row>
    <row r="538" spans="3:4" s="7" customFormat="1" ht="11.4" x14ac:dyDescent="0.2">
      <c r="C538" s="106"/>
      <c r="D538" s="107"/>
    </row>
    <row r="539" spans="3:4" s="7" customFormat="1" ht="11.4" x14ac:dyDescent="0.2">
      <c r="C539" s="106"/>
      <c r="D539" s="107"/>
    </row>
    <row r="540" spans="3:4" s="7" customFormat="1" ht="11.4" x14ac:dyDescent="0.2">
      <c r="C540" s="106"/>
      <c r="D540" s="107"/>
    </row>
    <row r="541" spans="3:4" s="7" customFormat="1" ht="11.4" x14ac:dyDescent="0.2">
      <c r="C541" s="106"/>
      <c r="D541" s="107"/>
    </row>
    <row r="542" spans="3:4" s="7" customFormat="1" ht="11.4" x14ac:dyDescent="0.2">
      <c r="C542" s="106"/>
      <c r="D542" s="107"/>
    </row>
    <row r="543" spans="3:4" s="7" customFormat="1" ht="11.4" x14ac:dyDescent="0.2">
      <c r="C543" s="106"/>
      <c r="D543" s="107"/>
    </row>
    <row r="544" spans="3:4" s="7" customFormat="1" ht="11.4" x14ac:dyDescent="0.2">
      <c r="C544" s="106"/>
      <c r="D544" s="107"/>
    </row>
    <row r="545" spans="3:4" s="7" customFormat="1" ht="11.4" x14ac:dyDescent="0.2">
      <c r="C545" s="106"/>
      <c r="D545" s="107"/>
    </row>
    <row r="546" spans="3:4" s="7" customFormat="1" ht="11.4" x14ac:dyDescent="0.2">
      <c r="C546" s="106"/>
      <c r="D546" s="107"/>
    </row>
    <row r="547" spans="3:4" s="7" customFormat="1" ht="11.4" x14ac:dyDescent="0.2">
      <c r="C547" s="106"/>
      <c r="D547" s="107"/>
    </row>
    <row r="548" spans="3:4" s="7" customFormat="1" ht="11.4" x14ac:dyDescent="0.2">
      <c r="C548" s="106"/>
      <c r="D548" s="107"/>
    </row>
    <row r="549" spans="3:4" s="7" customFormat="1" ht="11.4" x14ac:dyDescent="0.2">
      <c r="C549" s="106"/>
      <c r="D549" s="107"/>
    </row>
    <row r="550" spans="3:4" s="7" customFormat="1" ht="11.4" x14ac:dyDescent="0.2">
      <c r="C550" s="106"/>
      <c r="D550" s="107"/>
    </row>
    <row r="551" spans="3:4" s="7" customFormat="1" ht="11.4" x14ac:dyDescent="0.2">
      <c r="C551" s="106"/>
      <c r="D551" s="107"/>
    </row>
    <row r="552" spans="3:4" s="7" customFormat="1" ht="11.4" x14ac:dyDescent="0.2">
      <c r="C552" s="106"/>
      <c r="D552" s="107"/>
    </row>
    <row r="553" spans="3:4" s="7" customFormat="1" ht="11.4" x14ac:dyDescent="0.2">
      <c r="C553" s="106"/>
      <c r="D553" s="107"/>
    </row>
    <row r="554" spans="3:4" s="7" customFormat="1" ht="11.4" x14ac:dyDescent="0.2">
      <c r="C554" s="106"/>
      <c r="D554" s="107"/>
    </row>
    <row r="555" spans="3:4" s="7" customFormat="1" ht="11.4" x14ac:dyDescent="0.2">
      <c r="C555" s="106"/>
      <c r="D555" s="107"/>
    </row>
    <row r="556" spans="3:4" s="7" customFormat="1" ht="11.4" x14ac:dyDescent="0.2">
      <c r="C556" s="106"/>
      <c r="D556" s="107"/>
    </row>
    <row r="557" spans="3:4" s="7" customFormat="1" ht="11.4" x14ac:dyDescent="0.2">
      <c r="C557" s="106"/>
      <c r="D557" s="107"/>
    </row>
    <row r="558" spans="3:4" s="7" customFormat="1" ht="11.4" x14ac:dyDescent="0.2">
      <c r="C558" s="106"/>
      <c r="D558" s="107"/>
    </row>
    <row r="559" spans="3:4" s="7" customFormat="1" ht="11.4" x14ac:dyDescent="0.2">
      <c r="C559" s="106"/>
      <c r="D559" s="107"/>
    </row>
    <row r="560" spans="3:4" s="7" customFormat="1" ht="11.4" x14ac:dyDescent="0.2">
      <c r="C560" s="106"/>
      <c r="D560" s="107"/>
    </row>
    <row r="561" spans="3:4" s="7" customFormat="1" ht="11.4" x14ac:dyDescent="0.2">
      <c r="C561" s="106"/>
      <c r="D561" s="107"/>
    </row>
    <row r="562" spans="3:4" s="7" customFormat="1" ht="11.4" x14ac:dyDescent="0.2">
      <c r="C562" s="106"/>
      <c r="D562" s="107"/>
    </row>
    <row r="563" spans="3:4" s="7" customFormat="1" ht="11.4" x14ac:dyDescent="0.2">
      <c r="C563" s="106"/>
      <c r="D563" s="107"/>
    </row>
    <row r="564" spans="3:4" s="7" customFormat="1" ht="11.4" x14ac:dyDescent="0.2">
      <c r="C564" s="106"/>
      <c r="D564" s="107"/>
    </row>
    <row r="565" spans="3:4" s="7" customFormat="1" ht="11.4" x14ac:dyDescent="0.2">
      <c r="C565" s="106"/>
      <c r="D565" s="107"/>
    </row>
    <row r="566" spans="3:4" s="7" customFormat="1" ht="11.4" x14ac:dyDescent="0.2">
      <c r="C566" s="106"/>
      <c r="D566" s="107"/>
    </row>
    <row r="567" spans="3:4" s="7" customFormat="1" ht="11.4" x14ac:dyDescent="0.2">
      <c r="C567" s="106"/>
      <c r="D567" s="107"/>
    </row>
    <row r="568" spans="3:4" s="7" customFormat="1" ht="11.4" x14ac:dyDescent="0.2">
      <c r="C568" s="106"/>
      <c r="D568" s="107"/>
    </row>
    <row r="569" spans="3:4" s="7" customFormat="1" ht="11.4" x14ac:dyDescent="0.2">
      <c r="C569" s="106"/>
      <c r="D569" s="107"/>
    </row>
    <row r="570" spans="3:4" s="7" customFormat="1" ht="11.4" x14ac:dyDescent="0.2">
      <c r="C570" s="106"/>
      <c r="D570" s="107"/>
    </row>
    <row r="571" spans="3:4" s="7" customFormat="1" ht="11.4" x14ac:dyDescent="0.2">
      <c r="C571" s="106"/>
      <c r="D571" s="107"/>
    </row>
    <row r="572" spans="3:4" s="7" customFormat="1" ht="11.4" x14ac:dyDescent="0.2">
      <c r="C572" s="106"/>
      <c r="D572" s="107"/>
    </row>
    <row r="573" spans="3:4" s="7" customFormat="1" ht="11.4" x14ac:dyDescent="0.2">
      <c r="C573" s="106"/>
      <c r="D573" s="107"/>
    </row>
    <row r="574" spans="3:4" s="7" customFormat="1" ht="11.4" x14ac:dyDescent="0.2">
      <c r="C574" s="106"/>
      <c r="D574" s="107"/>
    </row>
    <row r="575" spans="3:4" s="7" customFormat="1" ht="11.4" x14ac:dyDescent="0.2">
      <c r="C575" s="106"/>
      <c r="D575" s="107"/>
    </row>
    <row r="576" spans="3:4" s="7" customFormat="1" ht="11.4" x14ac:dyDescent="0.2">
      <c r="C576" s="106"/>
      <c r="D576" s="107"/>
    </row>
    <row r="577" spans="3:4" s="7" customFormat="1" ht="11.4" x14ac:dyDescent="0.2">
      <c r="C577" s="106"/>
      <c r="D577" s="107"/>
    </row>
    <row r="578" spans="3:4" s="7" customFormat="1" ht="11.4" x14ac:dyDescent="0.2">
      <c r="C578" s="106"/>
      <c r="D578" s="107"/>
    </row>
    <row r="579" spans="3:4" s="7" customFormat="1" ht="11.4" x14ac:dyDescent="0.2">
      <c r="C579" s="106"/>
      <c r="D579" s="107"/>
    </row>
    <row r="580" spans="3:4" s="7" customFormat="1" ht="11.4" x14ac:dyDescent="0.2">
      <c r="C580" s="106"/>
      <c r="D580" s="107"/>
    </row>
    <row r="581" spans="3:4" s="7" customFormat="1" ht="11.4" x14ac:dyDescent="0.2">
      <c r="C581" s="106"/>
      <c r="D581" s="107"/>
    </row>
    <row r="582" spans="3:4" s="7" customFormat="1" ht="11.4" x14ac:dyDescent="0.2">
      <c r="C582" s="106"/>
      <c r="D582" s="107"/>
    </row>
    <row r="583" spans="3:4" s="7" customFormat="1" ht="11.4" x14ac:dyDescent="0.2">
      <c r="C583" s="106"/>
      <c r="D583" s="107"/>
    </row>
    <row r="584" spans="3:4" s="7" customFormat="1" ht="11.4" x14ac:dyDescent="0.2">
      <c r="C584" s="106"/>
      <c r="D584" s="107"/>
    </row>
    <row r="585" spans="3:4" s="7" customFormat="1" ht="11.4" x14ac:dyDescent="0.2">
      <c r="C585" s="106"/>
      <c r="D585" s="107"/>
    </row>
    <row r="586" spans="3:4" s="7" customFormat="1" ht="11.4" x14ac:dyDescent="0.2">
      <c r="C586" s="106"/>
      <c r="D586" s="107"/>
    </row>
    <row r="587" spans="3:4" s="7" customFormat="1" ht="11.4" x14ac:dyDescent="0.2">
      <c r="C587" s="106"/>
      <c r="D587" s="107"/>
    </row>
    <row r="588" spans="3:4" s="7" customFormat="1" ht="11.4" x14ac:dyDescent="0.2">
      <c r="C588" s="106"/>
      <c r="D588" s="107"/>
    </row>
    <row r="589" spans="3:4" s="7" customFormat="1" ht="11.4" x14ac:dyDescent="0.2">
      <c r="C589" s="106"/>
      <c r="D589" s="107"/>
    </row>
    <row r="590" spans="3:4" s="7" customFormat="1" ht="11.4" x14ac:dyDescent="0.2">
      <c r="C590" s="106"/>
      <c r="D590" s="107"/>
    </row>
    <row r="591" spans="3:4" s="7" customFormat="1" ht="11.4" x14ac:dyDescent="0.2">
      <c r="C591" s="106"/>
      <c r="D591" s="107"/>
    </row>
    <row r="592" spans="3:4" s="7" customFormat="1" ht="11.4" x14ac:dyDescent="0.2">
      <c r="C592" s="106"/>
      <c r="D592" s="107"/>
    </row>
    <row r="593" spans="3:4" s="7" customFormat="1" ht="11.4" x14ac:dyDescent="0.2">
      <c r="C593" s="106"/>
      <c r="D593" s="107"/>
    </row>
    <row r="594" spans="3:4" s="7" customFormat="1" ht="11.4" x14ac:dyDescent="0.2">
      <c r="C594" s="106"/>
      <c r="D594" s="107"/>
    </row>
    <row r="595" spans="3:4" s="7" customFormat="1" ht="11.4" x14ac:dyDescent="0.2">
      <c r="C595" s="106"/>
      <c r="D595" s="107"/>
    </row>
    <row r="596" spans="3:4" s="7" customFormat="1" ht="11.4" x14ac:dyDescent="0.2">
      <c r="C596" s="106"/>
      <c r="D596" s="107"/>
    </row>
    <row r="597" spans="3:4" s="7" customFormat="1" ht="11.4" x14ac:dyDescent="0.2">
      <c r="C597" s="106"/>
      <c r="D597" s="107"/>
    </row>
    <row r="598" spans="3:4" s="7" customFormat="1" ht="11.4" x14ac:dyDescent="0.2">
      <c r="C598" s="106"/>
      <c r="D598" s="107"/>
    </row>
    <row r="599" spans="3:4" s="7" customFormat="1" ht="11.4" x14ac:dyDescent="0.2">
      <c r="C599" s="106"/>
      <c r="D599" s="107"/>
    </row>
    <row r="600" spans="3:4" s="7" customFormat="1" ht="11.4" x14ac:dyDescent="0.2">
      <c r="C600" s="106"/>
      <c r="D600" s="107"/>
    </row>
    <row r="601" spans="3:4" s="7" customFormat="1" ht="11.4" x14ac:dyDescent="0.2">
      <c r="C601" s="106"/>
      <c r="D601" s="107"/>
    </row>
    <row r="602" spans="3:4" s="7" customFormat="1" ht="11.4" x14ac:dyDescent="0.2">
      <c r="C602" s="106"/>
      <c r="D602" s="107"/>
    </row>
    <row r="603" spans="3:4" s="7" customFormat="1" ht="11.4" x14ac:dyDescent="0.2">
      <c r="C603" s="106"/>
      <c r="D603" s="107"/>
    </row>
    <row r="604" spans="3:4" s="7" customFormat="1" ht="11.4" x14ac:dyDescent="0.2">
      <c r="C604" s="106"/>
      <c r="D604" s="107"/>
    </row>
    <row r="605" spans="3:4" s="7" customFormat="1" ht="11.4" x14ac:dyDescent="0.2">
      <c r="C605" s="106"/>
      <c r="D605" s="107"/>
    </row>
    <row r="606" spans="3:4" s="7" customFormat="1" ht="11.4" x14ac:dyDescent="0.2">
      <c r="C606" s="106"/>
      <c r="D606" s="107"/>
    </row>
    <row r="607" spans="3:4" s="7" customFormat="1" ht="11.4" x14ac:dyDescent="0.2">
      <c r="C607" s="106"/>
      <c r="D607" s="107"/>
    </row>
    <row r="608" spans="3:4" s="7" customFormat="1" ht="11.4" x14ac:dyDescent="0.2">
      <c r="C608" s="106"/>
      <c r="D608" s="107"/>
    </row>
    <row r="609" spans="3:4" s="7" customFormat="1" ht="11.4" x14ac:dyDescent="0.2">
      <c r="C609" s="106"/>
      <c r="D609" s="107"/>
    </row>
    <row r="610" spans="3:4" s="7" customFormat="1" ht="11.4" x14ac:dyDescent="0.2">
      <c r="C610" s="106"/>
      <c r="D610" s="107"/>
    </row>
    <row r="611" spans="3:4" s="7" customFormat="1" ht="11.4" x14ac:dyDescent="0.2">
      <c r="C611" s="106"/>
      <c r="D611" s="107"/>
    </row>
    <row r="612" spans="3:4" s="7" customFormat="1" ht="11.4" x14ac:dyDescent="0.2">
      <c r="C612" s="106"/>
      <c r="D612" s="107"/>
    </row>
    <row r="613" spans="3:4" s="7" customFormat="1" ht="11.4" x14ac:dyDescent="0.2">
      <c r="C613" s="106"/>
      <c r="D613" s="107"/>
    </row>
    <row r="614" spans="3:4" s="7" customFormat="1" ht="11.4" x14ac:dyDescent="0.2">
      <c r="C614" s="106"/>
      <c r="D614" s="107"/>
    </row>
    <row r="615" spans="3:4" s="7" customFormat="1" ht="11.4" x14ac:dyDescent="0.2">
      <c r="C615" s="106"/>
      <c r="D615" s="107"/>
    </row>
    <row r="616" spans="3:4" s="7" customFormat="1" ht="11.4" x14ac:dyDescent="0.2">
      <c r="C616" s="106"/>
      <c r="D616" s="107"/>
    </row>
    <row r="617" spans="3:4" s="7" customFormat="1" ht="11.4" x14ac:dyDescent="0.2">
      <c r="C617" s="106"/>
      <c r="D617" s="107"/>
    </row>
    <row r="618" spans="3:4" s="7" customFormat="1" ht="11.4" x14ac:dyDescent="0.2">
      <c r="C618" s="106"/>
      <c r="D618" s="107"/>
    </row>
    <row r="619" spans="3:4" s="7" customFormat="1" ht="11.4" x14ac:dyDescent="0.2">
      <c r="C619" s="106"/>
      <c r="D619" s="107"/>
    </row>
    <row r="620" spans="3:4" s="7" customFormat="1" ht="11.4" x14ac:dyDescent="0.2">
      <c r="C620" s="106"/>
      <c r="D620" s="107"/>
    </row>
    <row r="621" spans="3:4" s="7" customFormat="1" ht="11.4" x14ac:dyDescent="0.2">
      <c r="C621" s="106"/>
      <c r="D621" s="107"/>
    </row>
    <row r="622" spans="3:4" s="7" customFormat="1" ht="11.4" x14ac:dyDescent="0.2">
      <c r="C622" s="106"/>
      <c r="D622" s="107"/>
    </row>
    <row r="623" spans="3:4" s="7" customFormat="1" ht="11.4" x14ac:dyDescent="0.2">
      <c r="C623" s="106"/>
      <c r="D623" s="107"/>
    </row>
    <row r="624" spans="3:4" s="7" customFormat="1" ht="11.4" x14ac:dyDescent="0.2">
      <c r="C624" s="106"/>
      <c r="D624" s="107"/>
    </row>
    <row r="625" spans="3:4" s="7" customFormat="1" ht="11.4" x14ac:dyDescent="0.2">
      <c r="C625" s="106"/>
      <c r="D625" s="107"/>
    </row>
    <row r="626" spans="3:4" s="7" customFormat="1" ht="11.4" x14ac:dyDescent="0.2">
      <c r="C626" s="106"/>
      <c r="D626" s="107"/>
    </row>
    <row r="627" spans="3:4" s="7" customFormat="1" ht="11.4" x14ac:dyDescent="0.2">
      <c r="C627" s="106"/>
      <c r="D627" s="107"/>
    </row>
    <row r="628" spans="3:4" s="7" customFormat="1" ht="11.4" x14ac:dyDescent="0.2">
      <c r="C628" s="106"/>
      <c r="D628" s="107"/>
    </row>
    <row r="629" spans="3:4" s="7" customFormat="1" ht="11.4" x14ac:dyDescent="0.2">
      <c r="C629" s="106"/>
      <c r="D629" s="107"/>
    </row>
    <row r="630" spans="3:4" s="7" customFormat="1" ht="11.4" x14ac:dyDescent="0.2">
      <c r="C630" s="106"/>
      <c r="D630" s="107"/>
    </row>
    <row r="631" spans="3:4" s="7" customFormat="1" ht="11.4" x14ac:dyDescent="0.2">
      <c r="C631" s="106"/>
      <c r="D631" s="107"/>
    </row>
    <row r="632" spans="3:4" s="7" customFormat="1" ht="11.4" x14ac:dyDescent="0.2">
      <c r="C632" s="106"/>
      <c r="D632" s="107"/>
    </row>
    <row r="633" spans="3:4" s="7" customFormat="1" ht="11.4" x14ac:dyDescent="0.2">
      <c r="C633" s="106"/>
      <c r="D633" s="107"/>
    </row>
    <row r="634" spans="3:4" s="7" customFormat="1" ht="11.4" x14ac:dyDescent="0.2">
      <c r="C634" s="106"/>
      <c r="D634" s="107"/>
    </row>
    <row r="635" spans="3:4" s="7" customFormat="1" ht="11.4" x14ac:dyDescent="0.2">
      <c r="C635" s="106"/>
      <c r="D635" s="107"/>
    </row>
    <row r="636" spans="3:4" s="7" customFormat="1" ht="11.4" x14ac:dyDescent="0.2">
      <c r="C636" s="106"/>
      <c r="D636" s="107"/>
    </row>
    <row r="637" spans="3:4" s="7" customFormat="1" ht="11.4" x14ac:dyDescent="0.2">
      <c r="C637" s="106"/>
      <c r="D637" s="107"/>
    </row>
    <row r="638" spans="3:4" s="7" customFormat="1" ht="11.4" x14ac:dyDescent="0.2">
      <c r="C638" s="106"/>
      <c r="D638" s="107"/>
    </row>
    <row r="639" spans="3:4" s="7" customFormat="1" ht="11.4" x14ac:dyDescent="0.2">
      <c r="C639" s="106"/>
      <c r="D639" s="107"/>
    </row>
    <row r="640" spans="3:4" s="7" customFormat="1" ht="11.4" x14ac:dyDescent="0.2">
      <c r="C640" s="106"/>
      <c r="D640" s="107"/>
    </row>
    <row r="641" spans="3:4" s="7" customFormat="1" ht="11.4" x14ac:dyDescent="0.2">
      <c r="C641" s="106"/>
      <c r="D641" s="107"/>
    </row>
    <row r="642" spans="3:4" s="7" customFormat="1" ht="11.4" x14ac:dyDescent="0.2">
      <c r="C642" s="106"/>
      <c r="D642" s="107"/>
    </row>
    <row r="643" spans="3:4" s="7" customFormat="1" ht="11.4" x14ac:dyDescent="0.2">
      <c r="C643" s="106"/>
      <c r="D643" s="107"/>
    </row>
    <row r="644" spans="3:4" s="7" customFormat="1" ht="11.4" x14ac:dyDescent="0.2">
      <c r="C644" s="106"/>
      <c r="D644" s="107"/>
    </row>
    <row r="645" spans="3:4" s="7" customFormat="1" ht="11.4" x14ac:dyDescent="0.2">
      <c r="C645" s="106"/>
      <c r="D645" s="107"/>
    </row>
    <row r="646" spans="3:4" s="7" customFormat="1" ht="11.4" x14ac:dyDescent="0.2">
      <c r="C646" s="106"/>
      <c r="D646" s="107"/>
    </row>
    <row r="647" spans="3:4" s="7" customFormat="1" ht="11.4" x14ac:dyDescent="0.2">
      <c r="C647" s="106"/>
      <c r="D647" s="107"/>
    </row>
    <row r="648" spans="3:4" s="7" customFormat="1" ht="11.4" x14ac:dyDescent="0.2">
      <c r="C648" s="106"/>
      <c r="D648" s="107"/>
    </row>
    <row r="649" spans="3:4" s="7" customFormat="1" ht="11.4" x14ac:dyDescent="0.2">
      <c r="C649" s="106"/>
      <c r="D649" s="107"/>
    </row>
    <row r="650" spans="3:4" s="7" customFormat="1" ht="11.4" x14ac:dyDescent="0.2">
      <c r="C650" s="106"/>
      <c r="D650" s="107"/>
    </row>
    <row r="651" spans="3:4" s="7" customFormat="1" ht="11.4" x14ac:dyDescent="0.2">
      <c r="C651" s="106"/>
      <c r="D651" s="107"/>
    </row>
    <row r="652" spans="3:4" s="7" customFormat="1" ht="11.4" x14ac:dyDescent="0.2">
      <c r="C652" s="106"/>
      <c r="D652" s="107"/>
    </row>
    <row r="653" spans="3:4" s="7" customFormat="1" ht="11.4" x14ac:dyDescent="0.2">
      <c r="C653" s="106"/>
      <c r="D653" s="107"/>
    </row>
    <row r="654" spans="3:4" s="7" customFormat="1" ht="11.4" x14ac:dyDescent="0.2">
      <c r="C654" s="106"/>
      <c r="D654" s="107"/>
    </row>
    <row r="655" spans="3:4" s="7" customFormat="1" ht="11.4" x14ac:dyDescent="0.2">
      <c r="C655" s="106"/>
      <c r="D655" s="107"/>
    </row>
    <row r="656" spans="3:4" s="7" customFormat="1" ht="11.4" x14ac:dyDescent="0.2">
      <c r="C656" s="106"/>
      <c r="D656" s="107"/>
    </row>
    <row r="657" spans="3:4" s="7" customFormat="1" ht="11.4" x14ac:dyDescent="0.2">
      <c r="C657" s="106"/>
      <c r="D657" s="107"/>
    </row>
    <row r="658" spans="3:4" s="7" customFormat="1" ht="11.4" x14ac:dyDescent="0.2">
      <c r="C658" s="106"/>
      <c r="D658" s="107"/>
    </row>
    <row r="659" spans="3:4" s="7" customFormat="1" ht="11.4" x14ac:dyDescent="0.2">
      <c r="C659" s="106"/>
      <c r="D659" s="107"/>
    </row>
    <row r="660" spans="3:4" s="7" customFormat="1" ht="11.4" x14ac:dyDescent="0.2">
      <c r="C660" s="106"/>
      <c r="D660" s="107"/>
    </row>
    <row r="661" spans="3:4" s="7" customFormat="1" ht="11.4" x14ac:dyDescent="0.2">
      <c r="C661" s="106"/>
      <c r="D661" s="107"/>
    </row>
    <row r="662" spans="3:4" s="7" customFormat="1" ht="11.4" x14ac:dyDescent="0.2">
      <c r="C662" s="106"/>
      <c r="D662" s="107"/>
    </row>
    <row r="663" spans="3:4" s="7" customFormat="1" ht="11.4" x14ac:dyDescent="0.2">
      <c r="C663" s="106"/>
      <c r="D663" s="107"/>
    </row>
    <row r="664" spans="3:4" s="7" customFormat="1" ht="11.4" x14ac:dyDescent="0.2">
      <c r="C664" s="106"/>
      <c r="D664" s="107"/>
    </row>
    <row r="665" spans="3:4" s="7" customFormat="1" ht="11.4" x14ac:dyDescent="0.2">
      <c r="C665" s="106"/>
      <c r="D665" s="107"/>
    </row>
    <row r="666" spans="3:4" s="7" customFormat="1" ht="11.4" x14ac:dyDescent="0.2">
      <c r="C666" s="106"/>
      <c r="D666" s="107"/>
    </row>
    <row r="667" spans="3:4" s="7" customFormat="1" ht="11.4" x14ac:dyDescent="0.2">
      <c r="C667" s="106"/>
      <c r="D667" s="107"/>
    </row>
    <row r="668" spans="3:4" s="7" customFormat="1" ht="11.4" x14ac:dyDescent="0.2">
      <c r="C668" s="106"/>
      <c r="D668" s="107"/>
    </row>
    <row r="669" spans="3:4" s="7" customFormat="1" ht="11.4" x14ac:dyDescent="0.2">
      <c r="C669" s="106"/>
      <c r="D669" s="107"/>
    </row>
    <row r="670" spans="3:4" s="7" customFormat="1" ht="11.4" x14ac:dyDescent="0.2">
      <c r="C670" s="106"/>
      <c r="D670" s="107"/>
    </row>
    <row r="671" spans="3:4" s="7" customFormat="1" ht="11.4" x14ac:dyDescent="0.2">
      <c r="C671" s="106"/>
      <c r="D671" s="107"/>
    </row>
    <row r="672" spans="3:4" s="7" customFormat="1" ht="11.4" x14ac:dyDescent="0.2">
      <c r="C672" s="106"/>
      <c r="D672" s="107"/>
    </row>
    <row r="673" spans="3:4" s="7" customFormat="1" ht="11.4" x14ac:dyDescent="0.2">
      <c r="C673" s="106"/>
      <c r="D673" s="107"/>
    </row>
    <row r="674" spans="3:4" s="7" customFormat="1" ht="11.4" x14ac:dyDescent="0.2">
      <c r="C674" s="106"/>
      <c r="D674" s="107"/>
    </row>
    <row r="675" spans="3:4" s="7" customFormat="1" ht="11.4" x14ac:dyDescent="0.2">
      <c r="C675" s="106"/>
      <c r="D675" s="107"/>
    </row>
    <row r="676" spans="3:4" s="7" customFormat="1" ht="11.4" x14ac:dyDescent="0.2">
      <c r="C676" s="106"/>
      <c r="D676" s="107"/>
    </row>
    <row r="677" spans="3:4" s="7" customFormat="1" ht="11.4" x14ac:dyDescent="0.2">
      <c r="C677" s="106"/>
      <c r="D677" s="107"/>
    </row>
    <row r="678" spans="3:4" s="7" customFormat="1" ht="11.4" x14ac:dyDescent="0.2">
      <c r="C678" s="106"/>
      <c r="D678" s="107"/>
    </row>
    <row r="679" spans="3:4" s="7" customFormat="1" ht="11.4" x14ac:dyDescent="0.2">
      <c r="C679" s="106"/>
      <c r="D679" s="107"/>
    </row>
    <row r="680" spans="3:4" s="7" customFormat="1" ht="11.4" x14ac:dyDescent="0.2">
      <c r="C680" s="106"/>
      <c r="D680" s="107"/>
    </row>
    <row r="681" spans="3:4" s="7" customFormat="1" ht="11.4" x14ac:dyDescent="0.2">
      <c r="C681" s="106"/>
      <c r="D681" s="107"/>
    </row>
    <row r="682" spans="3:4" s="7" customFormat="1" ht="11.4" x14ac:dyDescent="0.2">
      <c r="C682" s="106"/>
      <c r="D682" s="107"/>
    </row>
    <row r="683" spans="3:4" s="7" customFormat="1" ht="11.4" x14ac:dyDescent="0.2">
      <c r="C683" s="106"/>
      <c r="D683" s="107"/>
    </row>
    <row r="684" spans="3:4" s="7" customFormat="1" ht="11.4" x14ac:dyDescent="0.2">
      <c r="C684" s="106"/>
      <c r="D684" s="107"/>
    </row>
    <row r="685" spans="3:4" s="7" customFormat="1" ht="11.4" x14ac:dyDescent="0.2">
      <c r="C685" s="106"/>
      <c r="D685" s="107"/>
    </row>
    <row r="686" spans="3:4" s="7" customFormat="1" ht="11.4" x14ac:dyDescent="0.2">
      <c r="C686" s="106"/>
      <c r="D686" s="107"/>
    </row>
    <row r="687" spans="3:4" s="7" customFormat="1" ht="11.4" x14ac:dyDescent="0.2">
      <c r="C687" s="106"/>
      <c r="D687" s="107"/>
    </row>
    <row r="688" spans="3:4" s="7" customFormat="1" ht="11.4" x14ac:dyDescent="0.2">
      <c r="C688" s="106"/>
      <c r="D688" s="107"/>
    </row>
    <row r="689" spans="3:4" s="7" customFormat="1" ht="11.4" x14ac:dyDescent="0.2">
      <c r="C689" s="106"/>
      <c r="D689" s="107"/>
    </row>
    <row r="690" spans="3:4" s="7" customFormat="1" ht="11.4" x14ac:dyDescent="0.2">
      <c r="C690" s="106"/>
      <c r="D690" s="107"/>
    </row>
    <row r="691" spans="3:4" s="7" customFormat="1" ht="11.4" x14ac:dyDescent="0.2">
      <c r="C691" s="106"/>
      <c r="D691" s="107"/>
    </row>
    <row r="692" spans="3:4" s="7" customFormat="1" ht="11.4" x14ac:dyDescent="0.2">
      <c r="C692" s="106"/>
      <c r="D692" s="107"/>
    </row>
    <row r="693" spans="3:4" s="7" customFormat="1" ht="11.4" x14ac:dyDescent="0.2">
      <c r="C693" s="106"/>
      <c r="D693" s="107"/>
    </row>
    <row r="694" spans="3:4" s="7" customFormat="1" ht="11.4" x14ac:dyDescent="0.2">
      <c r="C694" s="106"/>
      <c r="D694" s="107"/>
    </row>
    <row r="695" spans="3:4" s="7" customFormat="1" ht="11.4" x14ac:dyDescent="0.2">
      <c r="C695" s="106"/>
      <c r="D695" s="107"/>
    </row>
    <row r="696" spans="3:4" s="7" customFormat="1" ht="11.4" x14ac:dyDescent="0.2">
      <c r="C696" s="106"/>
      <c r="D696" s="107"/>
    </row>
    <row r="697" spans="3:4" s="7" customFormat="1" ht="11.4" x14ac:dyDescent="0.2">
      <c r="C697" s="106"/>
      <c r="D697" s="107"/>
    </row>
    <row r="698" spans="3:4" s="7" customFormat="1" ht="11.4" x14ac:dyDescent="0.2">
      <c r="C698" s="106"/>
      <c r="D698" s="107"/>
    </row>
    <row r="699" spans="3:4" s="7" customFormat="1" ht="11.4" x14ac:dyDescent="0.2">
      <c r="C699" s="106"/>
      <c r="D699" s="107"/>
    </row>
    <row r="700" spans="3:4" s="7" customFormat="1" ht="11.4" x14ac:dyDescent="0.2">
      <c r="C700" s="106"/>
      <c r="D700" s="107"/>
    </row>
    <row r="701" spans="3:4" s="7" customFormat="1" ht="11.4" x14ac:dyDescent="0.2">
      <c r="C701" s="106"/>
      <c r="D701" s="107"/>
    </row>
    <row r="702" spans="3:4" s="7" customFormat="1" ht="11.4" x14ac:dyDescent="0.2">
      <c r="C702" s="106"/>
      <c r="D702" s="107"/>
    </row>
    <row r="703" spans="3:4" s="7" customFormat="1" ht="11.4" x14ac:dyDescent="0.2">
      <c r="C703" s="106"/>
      <c r="D703" s="107"/>
    </row>
    <row r="704" spans="3:4" s="7" customFormat="1" ht="11.4" x14ac:dyDescent="0.2">
      <c r="C704" s="106"/>
      <c r="D704" s="107"/>
    </row>
    <row r="705" spans="3:4" s="7" customFormat="1" ht="11.4" x14ac:dyDescent="0.2">
      <c r="C705" s="106"/>
      <c r="D705" s="107"/>
    </row>
    <row r="706" spans="3:4" s="7" customFormat="1" ht="11.4" x14ac:dyDescent="0.2">
      <c r="C706" s="106"/>
      <c r="D706" s="107"/>
    </row>
    <row r="707" spans="3:4" s="7" customFormat="1" ht="11.4" x14ac:dyDescent="0.2">
      <c r="C707" s="106"/>
      <c r="D707" s="107"/>
    </row>
    <row r="708" spans="3:4" s="7" customFormat="1" ht="11.4" x14ac:dyDescent="0.2">
      <c r="C708" s="106"/>
      <c r="D708" s="107"/>
    </row>
    <row r="709" spans="3:4" s="7" customFormat="1" ht="11.4" x14ac:dyDescent="0.2">
      <c r="C709" s="106"/>
      <c r="D709" s="107"/>
    </row>
    <row r="710" spans="3:4" s="7" customFormat="1" ht="11.4" x14ac:dyDescent="0.2">
      <c r="C710" s="106"/>
      <c r="D710" s="107"/>
    </row>
    <row r="711" spans="3:4" s="7" customFormat="1" ht="11.4" x14ac:dyDescent="0.2">
      <c r="C711" s="106"/>
      <c r="D711" s="107"/>
    </row>
    <row r="712" spans="3:4" s="7" customFormat="1" ht="11.4" x14ac:dyDescent="0.2">
      <c r="C712" s="106"/>
      <c r="D712" s="107"/>
    </row>
    <row r="713" spans="3:4" s="7" customFormat="1" ht="11.4" x14ac:dyDescent="0.2">
      <c r="C713" s="106"/>
      <c r="D713" s="107"/>
    </row>
    <row r="714" spans="3:4" s="7" customFormat="1" ht="11.4" x14ac:dyDescent="0.2">
      <c r="C714" s="106"/>
      <c r="D714" s="107"/>
    </row>
    <row r="715" spans="3:4" s="7" customFormat="1" ht="11.4" x14ac:dyDescent="0.2">
      <c r="C715" s="106"/>
      <c r="D715" s="107"/>
    </row>
    <row r="716" spans="3:4" s="7" customFormat="1" ht="11.4" x14ac:dyDescent="0.2">
      <c r="C716" s="106"/>
      <c r="D716" s="107"/>
    </row>
    <row r="717" spans="3:4" s="7" customFormat="1" ht="11.4" x14ac:dyDescent="0.2">
      <c r="C717" s="106"/>
      <c r="D717" s="107"/>
    </row>
    <row r="718" spans="3:4" s="7" customFormat="1" ht="11.4" x14ac:dyDescent="0.2">
      <c r="C718" s="106"/>
      <c r="D718" s="107"/>
    </row>
    <row r="719" spans="3:4" s="7" customFormat="1" ht="11.4" x14ac:dyDescent="0.2">
      <c r="C719" s="106"/>
      <c r="D719" s="107"/>
    </row>
    <row r="720" spans="3:4" s="7" customFormat="1" ht="11.4" x14ac:dyDescent="0.2">
      <c r="C720" s="106"/>
      <c r="D720" s="107"/>
    </row>
    <row r="721" spans="3:4" s="7" customFormat="1" ht="11.4" x14ac:dyDescent="0.2">
      <c r="C721" s="106"/>
      <c r="D721" s="107"/>
    </row>
    <row r="722" spans="3:4" s="7" customFormat="1" ht="11.4" x14ac:dyDescent="0.2">
      <c r="C722" s="106"/>
      <c r="D722" s="107"/>
    </row>
    <row r="723" spans="3:4" s="7" customFormat="1" ht="11.4" x14ac:dyDescent="0.2">
      <c r="C723" s="106"/>
      <c r="D723" s="107"/>
    </row>
    <row r="724" spans="3:4" s="7" customFormat="1" ht="11.4" x14ac:dyDescent="0.2">
      <c r="C724" s="106"/>
      <c r="D724" s="107"/>
    </row>
    <row r="725" spans="3:4" s="7" customFormat="1" ht="11.4" x14ac:dyDescent="0.2">
      <c r="C725" s="106"/>
      <c r="D725" s="107"/>
    </row>
    <row r="726" spans="3:4" s="7" customFormat="1" ht="11.4" x14ac:dyDescent="0.2">
      <c r="C726" s="106"/>
      <c r="D726" s="107"/>
    </row>
    <row r="727" spans="3:4" s="7" customFormat="1" ht="11.4" x14ac:dyDescent="0.2">
      <c r="C727" s="106"/>
      <c r="D727" s="107"/>
    </row>
    <row r="728" spans="3:4" s="7" customFormat="1" ht="11.4" x14ac:dyDescent="0.2">
      <c r="C728" s="106"/>
      <c r="D728" s="107"/>
    </row>
    <row r="729" spans="3:4" s="7" customFormat="1" ht="11.4" x14ac:dyDescent="0.2">
      <c r="C729" s="106"/>
      <c r="D729" s="107"/>
    </row>
    <row r="730" spans="3:4" s="7" customFormat="1" ht="11.4" x14ac:dyDescent="0.2">
      <c r="C730" s="106"/>
      <c r="D730" s="107"/>
    </row>
    <row r="731" spans="3:4" s="7" customFormat="1" ht="11.4" x14ac:dyDescent="0.2">
      <c r="C731" s="106"/>
      <c r="D731" s="107"/>
    </row>
    <row r="732" spans="3:4" s="7" customFormat="1" ht="11.4" x14ac:dyDescent="0.2">
      <c r="C732" s="106"/>
      <c r="D732" s="107"/>
    </row>
    <row r="733" spans="3:4" s="7" customFormat="1" ht="11.4" x14ac:dyDescent="0.2">
      <c r="C733" s="106"/>
      <c r="D733" s="107"/>
    </row>
    <row r="734" spans="3:4" s="7" customFormat="1" ht="11.4" x14ac:dyDescent="0.2">
      <c r="C734" s="106"/>
      <c r="D734" s="107"/>
    </row>
    <row r="735" spans="3:4" s="7" customFormat="1" ht="11.4" x14ac:dyDescent="0.2">
      <c r="C735" s="106"/>
      <c r="D735" s="107"/>
    </row>
    <row r="736" spans="3:4" s="7" customFormat="1" ht="11.4" x14ac:dyDescent="0.2">
      <c r="C736" s="106"/>
      <c r="D736" s="107"/>
    </row>
    <row r="737" spans="3:4" s="7" customFormat="1" ht="11.4" x14ac:dyDescent="0.2">
      <c r="C737" s="106"/>
      <c r="D737" s="107"/>
    </row>
    <row r="738" spans="3:4" s="7" customFormat="1" ht="11.4" x14ac:dyDescent="0.2">
      <c r="C738" s="106"/>
      <c r="D738" s="107"/>
    </row>
    <row r="739" spans="3:4" s="7" customFormat="1" ht="11.4" x14ac:dyDescent="0.2">
      <c r="C739" s="106"/>
      <c r="D739" s="107"/>
    </row>
    <row r="740" spans="3:4" s="7" customFormat="1" ht="11.4" x14ac:dyDescent="0.2">
      <c r="C740" s="106"/>
      <c r="D740" s="107"/>
    </row>
    <row r="741" spans="3:4" s="7" customFormat="1" ht="11.4" x14ac:dyDescent="0.2">
      <c r="C741" s="106"/>
      <c r="D741" s="107"/>
    </row>
    <row r="742" spans="3:4" s="7" customFormat="1" ht="11.4" x14ac:dyDescent="0.2">
      <c r="C742" s="106"/>
      <c r="D742" s="107"/>
    </row>
    <row r="743" spans="3:4" s="7" customFormat="1" ht="11.4" x14ac:dyDescent="0.2">
      <c r="C743" s="106"/>
      <c r="D743" s="107"/>
    </row>
    <row r="744" spans="3:4" s="7" customFormat="1" ht="11.4" x14ac:dyDescent="0.2">
      <c r="C744" s="106"/>
      <c r="D744" s="107"/>
    </row>
    <row r="745" spans="3:4" s="7" customFormat="1" ht="11.4" x14ac:dyDescent="0.2">
      <c r="C745" s="106"/>
      <c r="D745" s="107"/>
    </row>
    <row r="746" spans="3:4" s="7" customFormat="1" ht="11.4" x14ac:dyDescent="0.2">
      <c r="C746" s="106"/>
      <c r="D746" s="107"/>
    </row>
    <row r="747" spans="3:4" s="7" customFormat="1" ht="11.4" x14ac:dyDescent="0.2">
      <c r="C747" s="106"/>
      <c r="D747" s="107"/>
    </row>
    <row r="748" spans="3:4" s="7" customFormat="1" ht="11.4" x14ac:dyDescent="0.2">
      <c r="C748" s="106"/>
      <c r="D748" s="107"/>
    </row>
    <row r="749" spans="3:4" s="7" customFormat="1" ht="11.4" x14ac:dyDescent="0.2">
      <c r="C749" s="106"/>
      <c r="D749" s="107"/>
    </row>
    <row r="750" spans="3:4" s="7" customFormat="1" ht="11.4" x14ac:dyDescent="0.2">
      <c r="C750" s="106"/>
      <c r="D750" s="107"/>
    </row>
    <row r="751" spans="3:4" s="7" customFormat="1" ht="11.4" x14ac:dyDescent="0.2">
      <c r="C751" s="106"/>
      <c r="D751" s="107"/>
    </row>
    <row r="752" spans="3:4" s="7" customFormat="1" ht="11.4" x14ac:dyDescent="0.2">
      <c r="C752" s="106"/>
      <c r="D752" s="107"/>
    </row>
    <row r="753" spans="3:4" s="7" customFormat="1" ht="11.4" x14ac:dyDescent="0.2">
      <c r="C753" s="106"/>
      <c r="D753" s="107"/>
    </row>
    <row r="754" spans="3:4" s="7" customFormat="1" ht="11.4" x14ac:dyDescent="0.2">
      <c r="C754" s="106"/>
      <c r="D754" s="107"/>
    </row>
    <row r="755" spans="3:4" s="7" customFormat="1" ht="11.4" x14ac:dyDescent="0.2">
      <c r="C755" s="106"/>
      <c r="D755" s="107"/>
    </row>
    <row r="756" spans="3:4" s="7" customFormat="1" ht="11.4" x14ac:dyDescent="0.2">
      <c r="C756" s="106"/>
      <c r="D756" s="107"/>
    </row>
    <row r="757" spans="3:4" s="7" customFormat="1" ht="11.4" x14ac:dyDescent="0.2">
      <c r="C757" s="106"/>
      <c r="D757" s="107"/>
    </row>
    <row r="758" spans="3:4" s="7" customFormat="1" ht="11.4" x14ac:dyDescent="0.2">
      <c r="C758" s="106"/>
      <c r="D758" s="107"/>
    </row>
    <row r="759" spans="3:4" s="7" customFormat="1" ht="11.4" x14ac:dyDescent="0.2">
      <c r="C759" s="106"/>
      <c r="D759" s="107"/>
    </row>
    <row r="760" spans="3:4" s="7" customFormat="1" ht="11.4" x14ac:dyDescent="0.2">
      <c r="C760" s="106"/>
      <c r="D760" s="107"/>
    </row>
    <row r="761" spans="3:4" s="7" customFormat="1" ht="11.4" x14ac:dyDescent="0.2">
      <c r="C761" s="106"/>
      <c r="D761" s="107"/>
    </row>
    <row r="762" spans="3:4" s="7" customFormat="1" ht="11.4" x14ac:dyDescent="0.2">
      <c r="C762" s="106"/>
      <c r="D762" s="107"/>
    </row>
    <row r="763" spans="3:4" s="7" customFormat="1" ht="11.4" x14ac:dyDescent="0.2">
      <c r="C763" s="106"/>
      <c r="D763" s="107"/>
    </row>
    <row r="764" spans="3:4" s="7" customFormat="1" ht="11.4" x14ac:dyDescent="0.2">
      <c r="C764" s="106"/>
      <c r="D764" s="107"/>
    </row>
    <row r="765" spans="3:4" s="7" customFormat="1" ht="11.4" x14ac:dyDescent="0.2">
      <c r="C765" s="106"/>
      <c r="D765" s="107"/>
    </row>
    <row r="766" spans="3:4" s="7" customFormat="1" ht="11.4" x14ac:dyDescent="0.2">
      <c r="C766" s="106"/>
      <c r="D766" s="107"/>
    </row>
    <row r="767" spans="3:4" s="7" customFormat="1" ht="11.4" x14ac:dyDescent="0.2">
      <c r="C767" s="106"/>
      <c r="D767" s="107"/>
    </row>
    <row r="768" spans="3:4" s="7" customFormat="1" ht="11.4" x14ac:dyDescent="0.2">
      <c r="C768" s="106"/>
      <c r="D768" s="107"/>
    </row>
    <row r="769" spans="3:4" s="7" customFormat="1" ht="11.4" x14ac:dyDescent="0.2">
      <c r="C769" s="106"/>
      <c r="D769" s="107"/>
    </row>
    <row r="770" spans="3:4" s="7" customFormat="1" ht="11.4" x14ac:dyDescent="0.2">
      <c r="C770" s="106"/>
      <c r="D770" s="107"/>
    </row>
    <row r="771" spans="3:4" s="7" customFormat="1" ht="11.4" x14ac:dyDescent="0.2">
      <c r="C771" s="106"/>
      <c r="D771" s="107"/>
    </row>
    <row r="772" spans="3:4" s="7" customFormat="1" ht="11.4" x14ac:dyDescent="0.2">
      <c r="C772" s="106"/>
      <c r="D772" s="107"/>
    </row>
    <row r="773" spans="3:4" s="7" customFormat="1" ht="11.4" x14ac:dyDescent="0.2">
      <c r="C773" s="106"/>
      <c r="D773" s="107"/>
    </row>
    <row r="774" spans="3:4" s="7" customFormat="1" ht="11.4" x14ac:dyDescent="0.2">
      <c r="C774" s="106"/>
      <c r="D774" s="107"/>
    </row>
    <row r="775" spans="3:4" s="7" customFormat="1" ht="11.4" x14ac:dyDescent="0.2">
      <c r="C775" s="106"/>
      <c r="D775" s="107"/>
    </row>
    <row r="776" spans="3:4" s="7" customFormat="1" ht="11.4" x14ac:dyDescent="0.2">
      <c r="C776" s="106"/>
      <c r="D776" s="107"/>
    </row>
    <row r="777" spans="3:4" s="7" customFormat="1" ht="11.4" x14ac:dyDescent="0.2">
      <c r="C777" s="106"/>
      <c r="D777" s="107"/>
    </row>
    <row r="778" spans="3:4" s="7" customFormat="1" ht="11.4" x14ac:dyDescent="0.2">
      <c r="C778" s="106"/>
      <c r="D778" s="107"/>
    </row>
    <row r="779" spans="3:4" s="7" customFormat="1" ht="11.4" x14ac:dyDescent="0.2">
      <c r="C779" s="106"/>
      <c r="D779" s="107"/>
    </row>
    <row r="780" spans="3:4" s="7" customFormat="1" ht="11.4" x14ac:dyDescent="0.2">
      <c r="C780" s="106"/>
      <c r="D780" s="107"/>
    </row>
    <row r="781" spans="3:4" s="7" customFormat="1" ht="11.4" x14ac:dyDescent="0.2">
      <c r="C781" s="106"/>
      <c r="D781" s="107"/>
    </row>
    <row r="782" spans="3:4" s="7" customFormat="1" ht="11.4" x14ac:dyDescent="0.2">
      <c r="C782" s="106"/>
      <c r="D782" s="107"/>
    </row>
    <row r="783" spans="3:4" s="7" customFormat="1" ht="11.4" x14ac:dyDescent="0.2">
      <c r="C783" s="106"/>
      <c r="D783" s="107"/>
    </row>
    <row r="784" spans="3:4" s="7" customFormat="1" ht="11.4" x14ac:dyDescent="0.2">
      <c r="C784" s="106"/>
      <c r="D784" s="107"/>
    </row>
    <row r="785" spans="3:4" s="7" customFormat="1" ht="11.4" x14ac:dyDescent="0.2">
      <c r="C785" s="106"/>
      <c r="D785" s="107"/>
    </row>
    <row r="786" spans="3:4" s="7" customFormat="1" ht="11.4" x14ac:dyDescent="0.2">
      <c r="C786" s="106"/>
      <c r="D786" s="107"/>
    </row>
    <row r="787" spans="3:4" s="7" customFormat="1" ht="11.4" x14ac:dyDescent="0.2">
      <c r="C787" s="106"/>
      <c r="D787" s="107"/>
    </row>
    <row r="788" spans="3:4" s="7" customFormat="1" ht="11.4" x14ac:dyDescent="0.2">
      <c r="C788" s="106"/>
      <c r="D788" s="107"/>
    </row>
    <row r="789" spans="3:4" s="7" customFormat="1" ht="11.4" x14ac:dyDescent="0.2">
      <c r="C789" s="106"/>
      <c r="D789" s="107"/>
    </row>
    <row r="790" spans="3:4" s="7" customFormat="1" ht="11.4" x14ac:dyDescent="0.2">
      <c r="C790" s="106"/>
      <c r="D790" s="107"/>
    </row>
    <row r="791" spans="3:4" s="7" customFormat="1" ht="11.4" x14ac:dyDescent="0.2">
      <c r="C791" s="106"/>
      <c r="D791" s="107"/>
    </row>
    <row r="792" spans="3:4" s="7" customFormat="1" ht="11.4" x14ac:dyDescent="0.2">
      <c r="C792" s="106"/>
      <c r="D792" s="107"/>
    </row>
    <row r="793" spans="3:4" s="7" customFormat="1" ht="11.4" x14ac:dyDescent="0.2">
      <c r="C793" s="106"/>
      <c r="D793" s="107"/>
    </row>
    <row r="794" spans="3:4" s="7" customFormat="1" ht="11.4" x14ac:dyDescent="0.2">
      <c r="C794" s="106"/>
      <c r="D794" s="107"/>
    </row>
    <row r="795" spans="3:4" s="7" customFormat="1" ht="11.4" x14ac:dyDescent="0.2">
      <c r="C795" s="106"/>
      <c r="D795" s="107"/>
    </row>
    <row r="796" spans="3:4" s="7" customFormat="1" ht="11.4" x14ac:dyDescent="0.2">
      <c r="C796" s="106"/>
      <c r="D796" s="107"/>
    </row>
    <row r="797" spans="3:4" s="7" customFormat="1" ht="11.4" x14ac:dyDescent="0.2">
      <c r="C797" s="106"/>
      <c r="D797" s="107"/>
    </row>
    <row r="798" spans="3:4" s="7" customFormat="1" ht="11.4" x14ac:dyDescent="0.2">
      <c r="C798" s="106"/>
      <c r="D798" s="107"/>
    </row>
    <row r="799" spans="3:4" s="7" customFormat="1" ht="11.4" x14ac:dyDescent="0.2">
      <c r="C799" s="106"/>
      <c r="D799" s="107"/>
    </row>
    <row r="800" spans="3:4" s="7" customFormat="1" ht="11.4" x14ac:dyDescent="0.2">
      <c r="C800" s="106"/>
      <c r="D800" s="107"/>
    </row>
    <row r="801" spans="3:4" s="7" customFormat="1" ht="11.4" x14ac:dyDescent="0.2">
      <c r="C801" s="106"/>
      <c r="D801" s="107"/>
    </row>
    <row r="802" spans="3:4" s="7" customFormat="1" ht="11.4" x14ac:dyDescent="0.2">
      <c r="C802" s="106"/>
      <c r="D802" s="107"/>
    </row>
    <row r="803" spans="3:4" s="7" customFormat="1" ht="11.4" x14ac:dyDescent="0.2">
      <c r="C803" s="106"/>
      <c r="D803" s="107"/>
    </row>
    <row r="804" spans="3:4" s="7" customFormat="1" ht="11.4" x14ac:dyDescent="0.2">
      <c r="C804" s="106"/>
      <c r="D804" s="107"/>
    </row>
    <row r="805" spans="3:4" s="7" customFormat="1" ht="11.4" x14ac:dyDescent="0.2">
      <c r="C805" s="106"/>
      <c r="D805" s="107"/>
    </row>
    <row r="806" spans="3:4" s="7" customFormat="1" ht="11.4" x14ac:dyDescent="0.2">
      <c r="C806" s="106"/>
      <c r="D806" s="107"/>
    </row>
    <row r="807" spans="3:4" s="7" customFormat="1" ht="11.4" x14ac:dyDescent="0.2">
      <c r="C807" s="106"/>
      <c r="D807" s="107"/>
    </row>
    <row r="808" spans="3:4" s="7" customFormat="1" ht="11.4" x14ac:dyDescent="0.2">
      <c r="C808" s="106"/>
      <c r="D808" s="107"/>
    </row>
    <row r="809" spans="3:4" s="7" customFormat="1" ht="11.4" x14ac:dyDescent="0.2">
      <c r="C809" s="106"/>
      <c r="D809" s="107"/>
    </row>
    <row r="810" spans="3:4" s="7" customFormat="1" ht="11.4" x14ac:dyDescent="0.2">
      <c r="C810" s="106"/>
      <c r="D810" s="107"/>
    </row>
    <row r="811" spans="3:4" s="7" customFormat="1" ht="11.4" x14ac:dyDescent="0.2">
      <c r="C811" s="106"/>
      <c r="D811" s="107"/>
    </row>
    <row r="812" spans="3:4" s="7" customFormat="1" ht="11.4" x14ac:dyDescent="0.2">
      <c r="C812" s="106"/>
      <c r="D812" s="107"/>
    </row>
    <row r="813" spans="3:4" s="7" customFormat="1" ht="11.4" x14ac:dyDescent="0.2">
      <c r="C813" s="106"/>
      <c r="D813" s="107"/>
    </row>
    <row r="814" spans="3:4" s="7" customFormat="1" ht="11.4" x14ac:dyDescent="0.2">
      <c r="C814" s="106"/>
      <c r="D814" s="107"/>
    </row>
    <row r="815" spans="3:4" s="7" customFormat="1" ht="11.4" x14ac:dyDescent="0.2">
      <c r="C815" s="106"/>
      <c r="D815" s="107"/>
    </row>
    <row r="816" spans="3:4" s="7" customFormat="1" ht="11.4" x14ac:dyDescent="0.2">
      <c r="C816" s="106"/>
      <c r="D816" s="107"/>
    </row>
    <row r="817" spans="3:4" s="7" customFormat="1" ht="11.4" x14ac:dyDescent="0.2">
      <c r="C817" s="106"/>
      <c r="D817" s="107"/>
    </row>
    <row r="818" spans="3:4" s="7" customFormat="1" ht="11.4" x14ac:dyDescent="0.2">
      <c r="C818" s="106"/>
      <c r="D818" s="107"/>
    </row>
    <row r="819" spans="3:4" s="7" customFormat="1" ht="11.4" x14ac:dyDescent="0.2">
      <c r="C819" s="106"/>
      <c r="D819" s="107"/>
    </row>
    <row r="820" spans="3:4" s="7" customFormat="1" ht="11.4" x14ac:dyDescent="0.2">
      <c r="C820" s="106"/>
      <c r="D820" s="107"/>
    </row>
    <row r="821" spans="3:4" s="7" customFormat="1" ht="11.4" x14ac:dyDescent="0.2">
      <c r="C821" s="106"/>
      <c r="D821" s="107"/>
    </row>
    <row r="822" spans="3:4" s="7" customFormat="1" ht="11.4" x14ac:dyDescent="0.2">
      <c r="C822" s="106"/>
      <c r="D822" s="107"/>
    </row>
    <row r="823" spans="3:4" s="7" customFormat="1" ht="11.4" x14ac:dyDescent="0.2">
      <c r="C823" s="106"/>
      <c r="D823" s="107"/>
    </row>
    <row r="824" spans="3:4" s="7" customFormat="1" ht="11.4" x14ac:dyDescent="0.2">
      <c r="C824" s="106"/>
      <c r="D824" s="107"/>
    </row>
    <row r="825" spans="3:4" s="7" customFormat="1" ht="11.4" x14ac:dyDescent="0.2">
      <c r="C825" s="106"/>
      <c r="D825" s="107"/>
    </row>
    <row r="826" spans="3:4" s="7" customFormat="1" ht="11.4" x14ac:dyDescent="0.2">
      <c r="C826" s="106"/>
      <c r="D826" s="107"/>
    </row>
    <row r="827" spans="3:4" s="7" customFormat="1" ht="11.4" x14ac:dyDescent="0.2">
      <c r="C827" s="106"/>
      <c r="D827" s="107"/>
    </row>
    <row r="828" spans="3:4" s="7" customFormat="1" ht="11.4" x14ac:dyDescent="0.2">
      <c r="C828" s="106"/>
      <c r="D828" s="107"/>
    </row>
    <row r="829" spans="3:4" s="7" customFormat="1" ht="11.4" x14ac:dyDescent="0.2">
      <c r="C829" s="106"/>
      <c r="D829" s="107"/>
    </row>
    <row r="830" spans="3:4" s="7" customFormat="1" ht="11.4" x14ac:dyDescent="0.2">
      <c r="C830" s="106"/>
      <c r="D830" s="107"/>
    </row>
    <row r="831" spans="3:4" s="7" customFormat="1" ht="11.4" x14ac:dyDescent="0.2">
      <c r="C831" s="106"/>
      <c r="D831" s="107"/>
    </row>
    <row r="832" spans="3:4" s="7" customFormat="1" ht="11.4" x14ac:dyDescent="0.2">
      <c r="C832" s="106"/>
      <c r="D832" s="107"/>
    </row>
    <row r="833" spans="3:4" s="7" customFormat="1" ht="11.4" x14ac:dyDescent="0.2">
      <c r="C833" s="106"/>
      <c r="D833" s="107"/>
    </row>
    <row r="834" spans="3:4" s="7" customFormat="1" ht="11.4" x14ac:dyDescent="0.2">
      <c r="C834" s="106"/>
      <c r="D834" s="107"/>
    </row>
    <row r="835" spans="3:4" s="7" customFormat="1" ht="11.4" x14ac:dyDescent="0.2">
      <c r="C835" s="106"/>
      <c r="D835" s="107"/>
    </row>
    <row r="836" spans="3:4" s="7" customFormat="1" ht="11.4" x14ac:dyDescent="0.2">
      <c r="C836" s="106"/>
      <c r="D836" s="107"/>
    </row>
    <row r="837" spans="3:4" s="7" customFormat="1" ht="11.4" x14ac:dyDescent="0.2">
      <c r="C837" s="106"/>
      <c r="D837" s="107"/>
    </row>
    <row r="838" spans="3:4" s="7" customFormat="1" ht="11.4" x14ac:dyDescent="0.2">
      <c r="C838" s="106"/>
      <c r="D838" s="107"/>
    </row>
    <row r="839" spans="3:4" s="7" customFormat="1" ht="11.4" x14ac:dyDescent="0.2">
      <c r="C839" s="106"/>
      <c r="D839" s="107"/>
    </row>
    <row r="840" spans="3:4" s="7" customFormat="1" ht="11.4" x14ac:dyDescent="0.2">
      <c r="C840" s="106"/>
      <c r="D840" s="107"/>
    </row>
    <row r="841" spans="3:4" s="7" customFormat="1" ht="11.4" x14ac:dyDescent="0.2">
      <c r="C841" s="106"/>
      <c r="D841" s="107"/>
    </row>
    <row r="842" spans="3:4" s="7" customFormat="1" ht="11.4" x14ac:dyDescent="0.2">
      <c r="C842" s="106"/>
      <c r="D842" s="107"/>
    </row>
    <row r="843" spans="3:4" s="7" customFormat="1" ht="11.4" x14ac:dyDescent="0.2">
      <c r="C843" s="106"/>
      <c r="D843" s="107"/>
    </row>
    <row r="844" spans="3:4" s="7" customFormat="1" ht="11.4" x14ac:dyDescent="0.2">
      <c r="C844" s="106"/>
      <c r="D844" s="107"/>
    </row>
    <row r="845" spans="3:4" s="7" customFormat="1" ht="11.4" x14ac:dyDescent="0.2">
      <c r="C845" s="106"/>
      <c r="D845" s="107"/>
    </row>
    <row r="846" spans="3:4" s="7" customFormat="1" ht="11.4" x14ac:dyDescent="0.2">
      <c r="C846" s="106"/>
      <c r="D846" s="107"/>
    </row>
    <row r="847" spans="3:4" s="7" customFormat="1" ht="11.4" x14ac:dyDescent="0.2">
      <c r="C847" s="106"/>
      <c r="D847" s="107"/>
    </row>
    <row r="848" spans="3:4" s="7" customFormat="1" ht="11.4" x14ac:dyDescent="0.2">
      <c r="C848" s="106"/>
      <c r="D848" s="107"/>
    </row>
    <row r="849" spans="3:4" s="7" customFormat="1" ht="11.4" x14ac:dyDescent="0.2">
      <c r="C849" s="106"/>
      <c r="D849" s="107"/>
    </row>
    <row r="850" spans="3:4" s="7" customFormat="1" ht="11.4" x14ac:dyDescent="0.2">
      <c r="C850" s="106"/>
      <c r="D850" s="107"/>
    </row>
    <row r="851" spans="3:4" s="7" customFormat="1" ht="11.4" x14ac:dyDescent="0.2">
      <c r="C851" s="106"/>
      <c r="D851" s="107"/>
    </row>
    <row r="852" spans="3:4" s="7" customFormat="1" ht="11.4" x14ac:dyDescent="0.2">
      <c r="C852" s="106"/>
      <c r="D852" s="107"/>
    </row>
    <row r="853" spans="3:4" s="7" customFormat="1" ht="11.4" x14ac:dyDescent="0.2">
      <c r="C853" s="106"/>
      <c r="D853" s="107"/>
    </row>
    <row r="854" spans="3:4" s="7" customFormat="1" ht="11.4" x14ac:dyDescent="0.2">
      <c r="C854" s="106"/>
      <c r="D854" s="107"/>
    </row>
    <row r="855" spans="3:4" s="7" customFormat="1" ht="11.4" x14ac:dyDescent="0.2">
      <c r="C855" s="106"/>
      <c r="D855" s="107"/>
    </row>
    <row r="856" spans="3:4" s="7" customFormat="1" ht="11.4" x14ac:dyDescent="0.2">
      <c r="C856" s="106"/>
      <c r="D856" s="107"/>
    </row>
    <row r="857" spans="3:4" s="7" customFormat="1" ht="11.4" x14ac:dyDescent="0.2">
      <c r="C857" s="106"/>
      <c r="D857" s="107"/>
    </row>
    <row r="858" spans="3:4" s="7" customFormat="1" ht="11.4" x14ac:dyDescent="0.2">
      <c r="C858" s="106"/>
      <c r="D858" s="107"/>
    </row>
    <row r="859" spans="3:4" s="7" customFormat="1" ht="11.4" x14ac:dyDescent="0.2">
      <c r="C859" s="106"/>
      <c r="D859" s="107"/>
    </row>
    <row r="860" spans="3:4" s="7" customFormat="1" ht="11.4" x14ac:dyDescent="0.2">
      <c r="C860" s="106"/>
      <c r="D860" s="107"/>
    </row>
    <row r="861" spans="3:4" s="7" customFormat="1" ht="11.4" x14ac:dyDescent="0.2">
      <c r="C861" s="106"/>
      <c r="D861" s="107"/>
    </row>
    <row r="862" spans="3:4" s="7" customFormat="1" ht="11.4" x14ac:dyDescent="0.2">
      <c r="C862" s="106"/>
      <c r="D862" s="107"/>
    </row>
    <row r="863" spans="3:4" s="7" customFormat="1" ht="11.4" x14ac:dyDescent="0.2">
      <c r="C863" s="106"/>
      <c r="D863" s="107"/>
    </row>
    <row r="864" spans="3:4" s="7" customFormat="1" ht="11.4" x14ac:dyDescent="0.2">
      <c r="C864" s="106"/>
      <c r="D864" s="107"/>
    </row>
    <row r="865" spans="3:4" s="7" customFormat="1" ht="11.4" x14ac:dyDescent="0.2">
      <c r="C865" s="106"/>
      <c r="D865" s="107"/>
    </row>
    <row r="866" spans="3:4" s="7" customFormat="1" ht="11.4" x14ac:dyDescent="0.2">
      <c r="C866" s="106"/>
      <c r="D866" s="107"/>
    </row>
    <row r="867" spans="3:4" s="7" customFormat="1" ht="11.4" x14ac:dyDescent="0.2">
      <c r="C867" s="106"/>
      <c r="D867" s="107"/>
    </row>
    <row r="868" spans="3:4" s="7" customFormat="1" ht="11.4" x14ac:dyDescent="0.2">
      <c r="C868" s="106"/>
      <c r="D868" s="107"/>
    </row>
    <row r="869" spans="3:4" s="7" customFormat="1" ht="11.4" x14ac:dyDescent="0.2">
      <c r="C869" s="106"/>
      <c r="D869" s="107"/>
    </row>
    <row r="870" spans="3:4" s="7" customFormat="1" ht="11.4" x14ac:dyDescent="0.2">
      <c r="C870" s="106"/>
      <c r="D870" s="107"/>
    </row>
    <row r="871" spans="3:4" s="7" customFormat="1" ht="11.4" x14ac:dyDescent="0.2">
      <c r="C871" s="106"/>
      <c r="D871" s="107"/>
    </row>
    <row r="872" spans="3:4" s="7" customFormat="1" ht="11.4" x14ac:dyDescent="0.2">
      <c r="C872" s="106"/>
      <c r="D872" s="107"/>
    </row>
    <row r="873" spans="3:4" s="7" customFormat="1" ht="11.4" x14ac:dyDescent="0.2">
      <c r="C873" s="106"/>
      <c r="D873" s="107"/>
    </row>
    <row r="874" spans="3:4" s="7" customFormat="1" ht="11.4" x14ac:dyDescent="0.2">
      <c r="C874" s="106"/>
      <c r="D874" s="107"/>
    </row>
    <row r="875" spans="3:4" s="7" customFormat="1" ht="11.4" x14ac:dyDescent="0.2">
      <c r="C875" s="106"/>
      <c r="D875" s="107"/>
    </row>
    <row r="876" spans="3:4" s="7" customFormat="1" ht="11.4" x14ac:dyDescent="0.2">
      <c r="C876" s="106"/>
      <c r="D876" s="107"/>
    </row>
    <row r="877" spans="3:4" s="7" customFormat="1" ht="11.4" x14ac:dyDescent="0.2">
      <c r="C877" s="106"/>
      <c r="D877" s="107"/>
    </row>
    <row r="878" spans="3:4" s="7" customFormat="1" ht="11.4" x14ac:dyDescent="0.2">
      <c r="C878" s="106"/>
      <c r="D878" s="107"/>
    </row>
    <row r="879" spans="3:4" s="7" customFormat="1" ht="11.4" x14ac:dyDescent="0.2">
      <c r="C879" s="106"/>
      <c r="D879" s="107"/>
    </row>
    <row r="880" spans="3:4" s="7" customFormat="1" ht="11.4" x14ac:dyDescent="0.2">
      <c r="C880" s="106"/>
      <c r="D880" s="107"/>
    </row>
    <row r="881" spans="3:4" s="7" customFormat="1" ht="11.4" x14ac:dyDescent="0.2">
      <c r="C881" s="106"/>
      <c r="D881" s="107"/>
    </row>
    <row r="882" spans="3:4" s="7" customFormat="1" ht="11.4" x14ac:dyDescent="0.2">
      <c r="C882" s="106"/>
      <c r="D882" s="107"/>
    </row>
    <row r="883" spans="3:4" s="7" customFormat="1" ht="11.4" x14ac:dyDescent="0.2">
      <c r="C883" s="106"/>
      <c r="D883" s="107"/>
    </row>
    <row r="884" spans="3:4" s="7" customFormat="1" ht="11.4" x14ac:dyDescent="0.2">
      <c r="C884" s="106"/>
      <c r="D884" s="107"/>
    </row>
    <row r="885" spans="3:4" s="7" customFormat="1" ht="11.4" x14ac:dyDescent="0.2">
      <c r="C885" s="106"/>
      <c r="D885" s="107"/>
    </row>
    <row r="886" spans="3:4" s="7" customFormat="1" ht="11.4" x14ac:dyDescent="0.2">
      <c r="C886" s="106"/>
      <c r="D886" s="107"/>
    </row>
    <row r="887" spans="3:4" s="7" customFormat="1" ht="11.4" x14ac:dyDescent="0.2">
      <c r="C887" s="106"/>
      <c r="D887" s="107"/>
    </row>
    <row r="888" spans="3:4" s="7" customFormat="1" ht="11.4" x14ac:dyDescent="0.2">
      <c r="C888" s="106"/>
      <c r="D888" s="107"/>
    </row>
    <row r="889" spans="3:4" s="7" customFormat="1" ht="11.4" x14ac:dyDescent="0.2">
      <c r="C889" s="106"/>
      <c r="D889" s="107"/>
    </row>
    <row r="890" spans="3:4" s="7" customFormat="1" ht="11.4" x14ac:dyDescent="0.2">
      <c r="C890" s="106"/>
      <c r="D890" s="107"/>
    </row>
    <row r="891" spans="3:4" s="7" customFormat="1" ht="11.4" x14ac:dyDescent="0.2">
      <c r="C891" s="106"/>
      <c r="D891" s="107"/>
    </row>
    <row r="892" spans="3:4" s="7" customFormat="1" ht="11.4" x14ac:dyDescent="0.2">
      <c r="C892" s="106"/>
      <c r="D892" s="107"/>
    </row>
    <row r="893" spans="3:4" s="7" customFormat="1" ht="11.4" x14ac:dyDescent="0.2">
      <c r="C893" s="106"/>
      <c r="D893" s="107"/>
    </row>
    <row r="894" spans="3:4" s="7" customFormat="1" ht="11.4" x14ac:dyDescent="0.2">
      <c r="C894" s="106"/>
      <c r="D894" s="107"/>
    </row>
    <row r="895" spans="3:4" s="7" customFormat="1" ht="11.4" x14ac:dyDescent="0.2">
      <c r="C895" s="106"/>
      <c r="D895" s="107"/>
    </row>
    <row r="896" spans="3:4" s="7" customFormat="1" ht="11.4" x14ac:dyDescent="0.2">
      <c r="C896" s="106"/>
      <c r="D896" s="107"/>
    </row>
    <row r="897" spans="3:4" s="7" customFormat="1" ht="11.4" x14ac:dyDescent="0.2">
      <c r="C897" s="106"/>
      <c r="D897" s="107"/>
    </row>
    <row r="898" spans="3:4" s="7" customFormat="1" ht="11.4" x14ac:dyDescent="0.2">
      <c r="C898" s="106"/>
      <c r="D898" s="107"/>
    </row>
    <row r="899" spans="3:4" s="7" customFormat="1" ht="11.4" x14ac:dyDescent="0.2">
      <c r="C899" s="106"/>
      <c r="D899" s="107"/>
    </row>
    <row r="900" spans="3:4" s="7" customFormat="1" ht="11.4" x14ac:dyDescent="0.2">
      <c r="C900" s="106"/>
      <c r="D900" s="107"/>
    </row>
    <row r="901" spans="3:4" s="7" customFormat="1" ht="11.4" x14ac:dyDescent="0.2">
      <c r="C901" s="106"/>
      <c r="D901" s="107"/>
    </row>
    <row r="902" spans="3:4" s="7" customFormat="1" ht="11.4" x14ac:dyDescent="0.2">
      <c r="C902" s="106"/>
      <c r="D902" s="107"/>
    </row>
    <row r="903" spans="3:4" s="7" customFormat="1" ht="11.4" x14ac:dyDescent="0.2">
      <c r="C903" s="106"/>
      <c r="D903" s="107"/>
    </row>
    <row r="904" spans="3:4" s="7" customFormat="1" ht="11.4" x14ac:dyDescent="0.2">
      <c r="C904" s="106"/>
      <c r="D904" s="107"/>
    </row>
    <row r="905" spans="3:4" s="7" customFormat="1" ht="11.4" x14ac:dyDescent="0.2">
      <c r="C905" s="106"/>
      <c r="D905" s="107"/>
    </row>
    <row r="906" spans="3:4" s="7" customFormat="1" ht="11.4" x14ac:dyDescent="0.2">
      <c r="C906" s="106"/>
      <c r="D906" s="107"/>
    </row>
    <row r="907" spans="3:4" s="7" customFormat="1" ht="11.4" x14ac:dyDescent="0.2">
      <c r="C907" s="106"/>
      <c r="D907" s="107"/>
    </row>
    <row r="908" spans="3:4" s="7" customFormat="1" ht="11.4" x14ac:dyDescent="0.2">
      <c r="C908" s="106"/>
      <c r="D908" s="107"/>
    </row>
    <row r="909" spans="3:4" s="7" customFormat="1" ht="11.4" x14ac:dyDescent="0.2">
      <c r="C909" s="106"/>
      <c r="D909" s="107"/>
    </row>
    <row r="910" spans="3:4" s="7" customFormat="1" ht="11.4" x14ac:dyDescent="0.2">
      <c r="C910" s="106"/>
      <c r="D910" s="107"/>
    </row>
    <row r="911" spans="3:4" s="7" customFormat="1" ht="11.4" x14ac:dyDescent="0.2">
      <c r="C911" s="106"/>
      <c r="D911" s="107"/>
    </row>
    <row r="912" spans="3:4" s="7" customFormat="1" ht="11.4" x14ac:dyDescent="0.2">
      <c r="C912" s="106"/>
      <c r="D912" s="107"/>
    </row>
    <row r="913" spans="3:4" s="7" customFormat="1" ht="11.4" x14ac:dyDescent="0.2">
      <c r="C913" s="106"/>
      <c r="D913" s="107"/>
    </row>
    <row r="914" spans="3:4" s="7" customFormat="1" ht="11.4" x14ac:dyDescent="0.2">
      <c r="C914" s="106"/>
      <c r="D914" s="107"/>
    </row>
    <row r="915" spans="3:4" s="7" customFormat="1" ht="11.4" x14ac:dyDescent="0.2">
      <c r="C915" s="106"/>
      <c r="D915" s="107"/>
    </row>
    <row r="916" spans="3:4" s="7" customFormat="1" ht="11.4" x14ac:dyDescent="0.2">
      <c r="C916" s="106"/>
      <c r="D916" s="107"/>
    </row>
    <row r="917" spans="3:4" s="7" customFormat="1" ht="11.4" x14ac:dyDescent="0.2">
      <c r="C917" s="106"/>
      <c r="D917" s="107"/>
    </row>
    <row r="918" spans="3:4" s="7" customFormat="1" ht="11.4" x14ac:dyDescent="0.2">
      <c r="C918" s="106"/>
      <c r="D918" s="107"/>
    </row>
    <row r="919" spans="3:4" s="7" customFormat="1" ht="11.4" x14ac:dyDescent="0.2">
      <c r="C919" s="106"/>
      <c r="D919" s="107"/>
    </row>
    <row r="920" spans="3:4" s="7" customFormat="1" ht="11.4" x14ac:dyDescent="0.2">
      <c r="C920" s="106"/>
      <c r="D920" s="107"/>
    </row>
    <row r="921" spans="3:4" s="7" customFormat="1" ht="11.4" x14ac:dyDescent="0.2">
      <c r="C921" s="106"/>
      <c r="D921" s="107"/>
    </row>
    <row r="922" spans="3:4" s="7" customFormat="1" ht="11.4" x14ac:dyDescent="0.2">
      <c r="C922" s="106"/>
      <c r="D922" s="107"/>
    </row>
    <row r="923" spans="3:4" s="7" customFormat="1" ht="11.4" x14ac:dyDescent="0.2">
      <c r="C923" s="106"/>
      <c r="D923" s="107"/>
    </row>
    <row r="924" spans="3:4" s="7" customFormat="1" ht="11.4" x14ac:dyDescent="0.2">
      <c r="C924" s="106"/>
      <c r="D924" s="107"/>
    </row>
    <row r="925" spans="3:4" s="7" customFormat="1" ht="11.4" x14ac:dyDescent="0.2">
      <c r="C925" s="106"/>
      <c r="D925" s="107"/>
    </row>
    <row r="926" spans="3:4" s="7" customFormat="1" ht="11.4" x14ac:dyDescent="0.2">
      <c r="C926" s="106"/>
      <c r="D926" s="107"/>
    </row>
    <row r="927" spans="3:4" s="7" customFormat="1" ht="11.4" x14ac:dyDescent="0.2">
      <c r="C927" s="106"/>
      <c r="D927" s="107"/>
    </row>
    <row r="928" spans="3:4" s="7" customFormat="1" ht="11.4" x14ac:dyDescent="0.2">
      <c r="C928" s="106"/>
      <c r="D928" s="107"/>
    </row>
    <row r="929" spans="3:4" s="7" customFormat="1" ht="11.4" x14ac:dyDescent="0.2">
      <c r="C929" s="106"/>
      <c r="D929" s="107"/>
    </row>
    <row r="930" spans="3:4" s="7" customFormat="1" ht="11.4" x14ac:dyDescent="0.2">
      <c r="C930" s="106"/>
      <c r="D930" s="107"/>
    </row>
    <row r="931" spans="3:4" s="7" customFormat="1" ht="11.4" x14ac:dyDescent="0.2">
      <c r="C931" s="106"/>
      <c r="D931" s="107"/>
    </row>
    <row r="932" spans="3:4" s="7" customFormat="1" ht="11.4" x14ac:dyDescent="0.2">
      <c r="C932" s="106"/>
      <c r="D932" s="107"/>
    </row>
    <row r="933" spans="3:4" s="7" customFormat="1" ht="11.4" x14ac:dyDescent="0.2">
      <c r="C933" s="106"/>
      <c r="D933" s="107"/>
    </row>
    <row r="934" spans="3:4" s="7" customFormat="1" ht="11.4" x14ac:dyDescent="0.2">
      <c r="C934" s="106"/>
      <c r="D934" s="107"/>
    </row>
    <row r="935" spans="3:4" s="7" customFormat="1" ht="11.4" x14ac:dyDescent="0.2">
      <c r="C935" s="106"/>
      <c r="D935" s="107"/>
    </row>
    <row r="936" spans="3:4" s="7" customFormat="1" ht="11.4" x14ac:dyDescent="0.2">
      <c r="C936" s="106"/>
      <c r="D936" s="107"/>
    </row>
    <row r="937" spans="3:4" s="7" customFormat="1" ht="11.4" x14ac:dyDescent="0.2">
      <c r="C937" s="106"/>
      <c r="D937" s="107"/>
    </row>
    <row r="938" spans="3:4" s="7" customFormat="1" ht="11.4" x14ac:dyDescent="0.2">
      <c r="C938" s="106"/>
      <c r="D938" s="107"/>
    </row>
    <row r="939" spans="3:4" s="7" customFormat="1" ht="11.4" x14ac:dyDescent="0.2">
      <c r="C939" s="106"/>
      <c r="D939" s="107"/>
    </row>
    <row r="940" spans="3:4" s="7" customFormat="1" ht="11.4" x14ac:dyDescent="0.2">
      <c r="C940" s="106"/>
      <c r="D940" s="107"/>
    </row>
    <row r="941" spans="3:4" s="7" customFormat="1" ht="11.4" x14ac:dyDescent="0.2">
      <c r="C941" s="106"/>
      <c r="D941" s="107"/>
    </row>
    <row r="942" spans="3:4" s="7" customFormat="1" ht="11.4" x14ac:dyDescent="0.2">
      <c r="C942" s="106"/>
      <c r="D942" s="107"/>
    </row>
    <row r="943" spans="3:4" s="7" customFormat="1" ht="11.4" x14ac:dyDescent="0.2">
      <c r="C943" s="106"/>
      <c r="D943" s="107"/>
    </row>
    <row r="944" spans="3:4" s="7" customFormat="1" ht="11.4" x14ac:dyDescent="0.2">
      <c r="C944" s="106"/>
      <c r="D944" s="107"/>
    </row>
    <row r="945" spans="3:4" s="7" customFormat="1" ht="11.4" x14ac:dyDescent="0.2">
      <c r="C945" s="106"/>
      <c r="D945" s="107"/>
    </row>
    <row r="946" spans="3:4" s="7" customFormat="1" ht="11.4" x14ac:dyDescent="0.2">
      <c r="C946" s="106"/>
      <c r="D946" s="107"/>
    </row>
    <row r="947" spans="3:4" s="7" customFormat="1" ht="11.4" x14ac:dyDescent="0.2">
      <c r="C947" s="106"/>
      <c r="D947" s="107"/>
    </row>
    <row r="948" spans="3:4" s="7" customFormat="1" ht="11.4" x14ac:dyDescent="0.2">
      <c r="C948" s="106"/>
      <c r="D948" s="107"/>
    </row>
    <row r="949" spans="3:4" s="7" customFormat="1" ht="11.4" x14ac:dyDescent="0.2">
      <c r="C949" s="106"/>
      <c r="D949" s="107"/>
    </row>
    <row r="950" spans="3:4" s="7" customFormat="1" ht="11.4" x14ac:dyDescent="0.2">
      <c r="C950" s="106"/>
      <c r="D950" s="107"/>
    </row>
    <row r="951" spans="3:4" s="7" customFormat="1" ht="11.4" x14ac:dyDescent="0.2">
      <c r="C951" s="106"/>
      <c r="D951" s="107"/>
    </row>
    <row r="952" spans="3:4" s="7" customFormat="1" ht="11.4" x14ac:dyDescent="0.2">
      <c r="C952" s="106"/>
      <c r="D952" s="107"/>
    </row>
    <row r="953" spans="3:4" s="7" customFormat="1" ht="11.4" x14ac:dyDescent="0.2">
      <c r="C953" s="106"/>
      <c r="D953" s="107"/>
    </row>
    <row r="954" spans="3:4" s="7" customFormat="1" ht="11.4" x14ac:dyDescent="0.2">
      <c r="C954" s="106"/>
      <c r="D954" s="107"/>
    </row>
    <row r="955" spans="3:4" s="7" customFormat="1" ht="11.4" x14ac:dyDescent="0.2">
      <c r="C955" s="106"/>
      <c r="D955" s="107"/>
    </row>
    <row r="956" spans="3:4" s="7" customFormat="1" ht="11.4" x14ac:dyDescent="0.2">
      <c r="C956" s="106"/>
      <c r="D956" s="107"/>
    </row>
    <row r="957" spans="3:4" s="7" customFormat="1" ht="11.4" x14ac:dyDescent="0.2">
      <c r="C957" s="106"/>
      <c r="D957" s="107"/>
    </row>
    <row r="958" spans="3:4" s="7" customFormat="1" ht="11.4" x14ac:dyDescent="0.2">
      <c r="C958" s="106"/>
      <c r="D958" s="107"/>
    </row>
    <row r="959" spans="3:4" s="7" customFormat="1" ht="11.4" x14ac:dyDescent="0.2">
      <c r="C959" s="106"/>
      <c r="D959" s="107"/>
    </row>
    <row r="960" spans="3:4" s="7" customFormat="1" ht="11.4" x14ac:dyDescent="0.2">
      <c r="C960" s="106"/>
      <c r="D960" s="107"/>
    </row>
    <row r="961" spans="3:4" s="7" customFormat="1" ht="11.4" x14ac:dyDescent="0.2">
      <c r="C961" s="106"/>
      <c r="D961" s="107"/>
    </row>
    <row r="962" spans="3:4" s="7" customFormat="1" ht="11.4" x14ac:dyDescent="0.2">
      <c r="C962" s="106"/>
      <c r="D962" s="107"/>
    </row>
    <row r="963" spans="3:4" s="7" customFormat="1" ht="11.4" x14ac:dyDescent="0.2">
      <c r="C963" s="106"/>
      <c r="D963" s="107"/>
    </row>
    <row r="964" spans="3:4" s="7" customFormat="1" ht="11.4" x14ac:dyDescent="0.2">
      <c r="C964" s="106"/>
      <c r="D964" s="107"/>
    </row>
    <row r="965" spans="3:4" s="7" customFormat="1" ht="11.4" x14ac:dyDescent="0.2">
      <c r="C965" s="106"/>
      <c r="D965" s="107"/>
    </row>
    <row r="966" spans="3:4" s="7" customFormat="1" ht="11.4" x14ac:dyDescent="0.2">
      <c r="C966" s="106"/>
      <c r="D966" s="107"/>
    </row>
    <row r="967" spans="3:4" s="7" customFormat="1" ht="11.4" x14ac:dyDescent="0.2">
      <c r="C967" s="106"/>
      <c r="D967" s="107"/>
    </row>
    <row r="968" spans="3:4" s="7" customFormat="1" ht="11.4" x14ac:dyDescent="0.2">
      <c r="C968" s="106"/>
      <c r="D968" s="107"/>
    </row>
    <row r="969" spans="3:4" s="7" customFormat="1" ht="11.4" x14ac:dyDescent="0.2">
      <c r="C969" s="106"/>
      <c r="D969" s="107"/>
    </row>
    <row r="970" spans="3:4" s="7" customFormat="1" ht="11.4" x14ac:dyDescent="0.2">
      <c r="C970" s="106"/>
      <c r="D970" s="107"/>
    </row>
    <row r="971" spans="3:4" s="7" customFormat="1" ht="11.4" x14ac:dyDescent="0.2">
      <c r="C971" s="106"/>
      <c r="D971" s="107"/>
    </row>
    <row r="972" spans="3:4" s="7" customFormat="1" ht="11.4" x14ac:dyDescent="0.2">
      <c r="C972" s="106"/>
      <c r="D972" s="107"/>
    </row>
    <row r="973" spans="3:4" s="7" customFormat="1" ht="11.4" x14ac:dyDescent="0.2">
      <c r="C973" s="106"/>
      <c r="D973" s="107"/>
    </row>
    <row r="974" spans="3:4" s="7" customFormat="1" ht="11.4" x14ac:dyDescent="0.2">
      <c r="C974" s="106"/>
      <c r="D974" s="107"/>
    </row>
    <row r="975" spans="3:4" s="7" customFormat="1" ht="11.4" x14ac:dyDescent="0.2">
      <c r="C975" s="106"/>
      <c r="D975" s="107"/>
    </row>
    <row r="976" spans="3:4" s="7" customFormat="1" ht="11.4" x14ac:dyDescent="0.2">
      <c r="C976" s="106"/>
      <c r="D976" s="107"/>
    </row>
    <row r="977" spans="3:4" s="7" customFormat="1" ht="11.4" x14ac:dyDescent="0.2">
      <c r="C977" s="106"/>
      <c r="D977" s="107"/>
    </row>
    <row r="978" spans="3:4" s="7" customFormat="1" ht="11.4" x14ac:dyDescent="0.2">
      <c r="C978" s="106"/>
      <c r="D978" s="107"/>
    </row>
    <row r="979" spans="3:4" s="7" customFormat="1" ht="11.4" x14ac:dyDescent="0.2">
      <c r="C979" s="106"/>
      <c r="D979" s="107"/>
    </row>
    <row r="980" spans="3:4" s="7" customFormat="1" ht="11.4" x14ac:dyDescent="0.2">
      <c r="C980" s="106"/>
      <c r="D980" s="107"/>
    </row>
    <row r="981" spans="3:4" s="7" customFormat="1" ht="11.4" x14ac:dyDescent="0.2">
      <c r="C981" s="106"/>
      <c r="D981" s="107"/>
    </row>
    <row r="982" spans="3:4" s="7" customFormat="1" ht="11.4" x14ac:dyDescent="0.2">
      <c r="C982" s="106"/>
      <c r="D982" s="107"/>
    </row>
    <row r="983" spans="3:4" s="7" customFormat="1" ht="11.4" x14ac:dyDescent="0.2">
      <c r="C983" s="106"/>
      <c r="D983" s="107"/>
    </row>
    <row r="984" spans="3:4" s="7" customFormat="1" ht="11.4" x14ac:dyDescent="0.2">
      <c r="C984" s="106"/>
      <c r="D984" s="107"/>
    </row>
    <row r="985" spans="3:4" s="7" customFormat="1" ht="11.4" x14ac:dyDescent="0.2">
      <c r="C985" s="106"/>
      <c r="D985" s="107"/>
    </row>
    <row r="986" spans="3:4" s="7" customFormat="1" ht="11.4" x14ac:dyDescent="0.2">
      <c r="C986" s="106"/>
      <c r="D986" s="107"/>
    </row>
    <row r="987" spans="3:4" s="7" customFormat="1" ht="11.4" x14ac:dyDescent="0.2">
      <c r="C987" s="106"/>
      <c r="D987" s="107"/>
    </row>
    <row r="988" spans="3:4" s="7" customFormat="1" ht="11.4" x14ac:dyDescent="0.2">
      <c r="C988" s="106"/>
      <c r="D988" s="107"/>
    </row>
    <row r="989" spans="3:4" s="7" customFormat="1" ht="11.4" x14ac:dyDescent="0.2">
      <c r="C989" s="106"/>
      <c r="D989" s="107"/>
    </row>
    <row r="990" spans="3:4" s="7" customFormat="1" ht="11.4" x14ac:dyDescent="0.2">
      <c r="C990" s="106"/>
      <c r="D990" s="107"/>
    </row>
    <row r="991" spans="3:4" s="7" customFormat="1" ht="11.4" x14ac:dyDescent="0.2">
      <c r="C991" s="106"/>
      <c r="D991" s="107"/>
    </row>
    <row r="992" spans="3:4" s="7" customFormat="1" ht="11.4" x14ac:dyDescent="0.2">
      <c r="C992" s="106"/>
      <c r="D992" s="107"/>
    </row>
    <row r="993" spans="3:4" s="7" customFormat="1" ht="11.4" x14ac:dyDescent="0.2">
      <c r="C993" s="106"/>
      <c r="D993" s="107"/>
    </row>
    <row r="994" spans="3:4" s="7" customFormat="1" ht="11.4" x14ac:dyDescent="0.2">
      <c r="C994" s="106"/>
      <c r="D994" s="107"/>
    </row>
    <row r="995" spans="3:4" s="7" customFormat="1" ht="11.4" x14ac:dyDescent="0.2">
      <c r="C995" s="106"/>
      <c r="D995" s="107"/>
    </row>
    <row r="996" spans="3:4" s="7" customFormat="1" ht="11.4" x14ac:dyDescent="0.2">
      <c r="C996" s="106"/>
      <c r="D996" s="107"/>
    </row>
    <row r="997" spans="3:4" s="7" customFormat="1" ht="11.4" x14ac:dyDescent="0.2">
      <c r="C997" s="106"/>
      <c r="D997" s="107"/>
    </row>
    <row r="998" spans="3:4" s="7" customFormat="1" ht="11.4" x14ac:dyDescent="0.2">
      <c r="C998" s="106"/>
      <c r="D998" s="107"/>
    </row>
    <row r="999" spans="3:4" s="7" customFormat="1" ht="11.4" x14ac:dyDescent="0.2">
      <c r="C999" s="106"/>
      <c r="D999" s="107"/>
    </row>
    <row r="1000" spans="3:4" s="7" customFormat="1" ht="11.4" x14ac:dyDescent="0.2">
      <c r="C1000" s="106"/>
      <c r="D1000" s="107"/>
    </row>
    <row r="1001" spans="3:4" s="7" customFormat="1" ht="11.4" x14ac:dyDescent="0.2">
      <c r="C1001" s="106"/>
      <c r="D1001" s="107"/>
    </row>
    <row r="1002" spans="3:4" s="7" customFormat="1" ht="11.4" x14ac:dyDescent="0.2">
      <c r="C1002" s="106"/>
      <c r="D1002" s="107"/>
    </row>
    <row r="1003" spans="3:4" s="7" customFormat="1" ht="11.4" x14ac:dyDescent="0.2">
      <c r="C1003" s="106"/>
      <c r="D1003" s="107"/>
    </row>
    <row r="1004" spans="3:4" s="7" customFormat="1" ht="11.4" x14ac:dyDescent="0.2">
      <c r="C1004" s="106"/>
      <c r="D1004" s="107"/>
    </row>
    <row r="1005" spans="3:4" s="7" customFormat="1" ht="11.4" x14ac:dyDescent="0.2">
      <c r="C1005" s="106"/>
      <c r="D1005" s="107"/>
    </row>
    <row r="1006" spans="3:4" s="7" customFormat="1" ht="11.4" x14ac:dyDescent="0.2">
      <c r="C1006" s="106"/>
      <c r="D1006" s="107"/>
    </row>
    <row r="1007" spans="3:4" s="7" customFormat="1" ht="11.4" x14ac:dyDescent="0.2">
      <c r="C1007" s="106"/>
      <c r="D1007" s="107"/>
    </row>
    <row r="1008" spans="3:4" s="7" customFormat="1" ht="11.4" x14ac:dyDescent="0.2">
      <c r="C1008" s="106"/>
      <c r="D1008" s="107"/>
    </row>
    <row r="1009" spans="3:4" s="7" customFormat="1" ht="11.4" x14ac:dyDescent="0.2">
      <c r="C1009" s="106"/>
      <c r="D1009" s="107"/>
    </row>
    <row r="1010" spans="3:4" s="7" customFormat="1" ht="11.4" x14ac:dyDescent="0.2">
      <c r="C1010" s="106"/>
      <c r="D1010" s="107"/>
    </row>
    <row r="1011" spans="3:4" s="7" customFormat="1" ht="11.4" x14ac:dyDescent="0.2">
      <c r="C1011" s="106"/>
      <c r="D1011" s="107"/>
    </row>
    <row r="1012" spans="3:4" s="7" customFormat="1" ht="11.4" x14ac:dyDescent="0.2">
      <c r="C1012" s="106"/>
      <c r="D1012" s="107"/>
    </row>
    <row r="1013" spans="3:4" s="7" customFormat="1" ht="11.4" x14ac:dyDescent="0.2">
      <c r="C1013" s="106"/>
      <c r="D1013" s="107"/>
    </row>
    <row r="1014" spans="3:4" s="7" customFormat="1" ht="11.4" x14ac:dyDescent="0.2">
      <c r="C1014" s="106"/>
      <c r="D1014" s="107"/>
    </row>
    <row r="1015" spans="3:4" s="7" customFormat="1" ht="11.4" x14ac:dyDescent="0.2">
      <c r="C1015" s="106"/>
      <c r="D1015" s="107"/>
    </row>
    <row r="1016" spans="3:4" s="7" customFormat="1" ht="11.4" x14ac:dyDescent="0.2">
      <c r="C1016" s="106"/>
      <c r="D1016" s="107"/>
    </row>
    <row r="1017" spans="3:4" s="7" customFormat="1" ht="11.4" x14ac:dyDescent="0.2">
      <c r="C1017" s="106"/>
      <c r="D1017" s="107"/>
    </row>
    <row r="1018" spans="3:4" s="7" customFormat="1" ht="11.4" x14ac:dyDescent="0.2">
      <c r="C1018" s="106"/>
      <c r="D1018" s="107"/>
    </row>
    <row r="1019" spans="3:4" s="7" customFormat="1" ht="11.4" x14ac:dyDescent="0.2">
      <c r="C1019" s="106"/>
      <c r="D1019" s="107"/>
    </row>
    <row r="1020" spans="3:4" s="7" customFormat="1" ht="11.4" x14ac:dyDescent="0.2">
      <c r="C1020" s="106"/>
      <c r="D1020" s="107"/>
    </row>
    <row r="1021" spans="3:4" s="7" customFormat="1" ht="11.4" x14ac:dyDescent="0.2">
      <c r="C1021" s="106"/>
      <c r="D1021" s="107"/>
    </row>
    <row r="1022" spans="3:4" s="7" customFormat="1" ht="11.4" x14ac:dyDescent="0.2">
      <c r="C1022" s="106"/>
      <c r="D1022" s="107"/>
    </row>
    <row r="1023" spans="3:4" s="7" customFormat="1" ht="11.4" x14ac:dyDescent="0.2">
      <c r="C1023" s="106"/>
      <c r="D1023" s="107"/>
    </row>
    <row r="1024" spans="3:4" s="7" customFormat="1" ht="11.4" x14ac:dyDescent="0.2">
      <c r="C1024" s="106"/>
      <c r="D1024" s="107"/>
    </row>
    <row r="1025" spans="3:4" s="7" customFormat="1" ht="11.4" x14ac:dyDescent="0.2">
      <c r="C1025" s="106"/>
      <c r="D1025" s="107"/>
    </row>
    <row r="1026" spans="3:4" s="7" customFormat="1" ht="11.4" x14ac:dyDescent="0.2">
      <c r="C1026" s="106"/>
      <c r="D1026" s="107"/>
    </row>
    <row r="1027" spans="3:4" s="7" customFormat="1" ht="11.4" x14ac:dyDescent="0.2">
      <c r="C1027" s="106"/>
      <c r="D1027" s="107"/>
    </row>
    <row r="1028" spans="3:4" s="7" customFormat="1" ht="11.4" x14ac:dyDescent="0.2">
      <c r="C1028" s="106"/>
      <c r="D1028" s="107"/>
    </row>
    <row r="1029" spans="3:4" s="7" customFormat="1" ht="11.4" x14ac:dyDescent="0.2">
      <c r="C1029" s="106"/>
      <c r="D1029" s="107"/>
    </row>
  </sheetData>
  <mergeCells count="26">
    <mergeCell ref="A41:D41"/>
    <mergeCell ref="A30:D30"/>
    <mergeCell ref="A33:D33"/>
    <mergeCell ref="A28:D28"/>
    <mergeCell ref="A68:D68"/>
    <mergeCell ref="A63:D63"/>
    <mergeCell ref="A56:D56"/>
    <mergeCell ref="A53:D53"/>
    <mergeCell ref="A47:D47"/>
    <mergeCell ref="A90:D90"/>
    <mergeCell ref="A86:D86"/>
    <mergeCell ref="A83:D83"/>
    <mergeCell ref="A78:D78"/>
    <mergeCell ref="A72:D72"/>
    <mergeCell ref="A25:D25"/>
    <mergeCell ref="A26:D26"/>
    <mergeCell ref="A20:D20"/>
    <mergeCell ref="A21:D21"/>
    <mergeCell ref="A17:D17"/>
    <mergeCell ref="A14:D14"/>
    <mergeCell ref="A11:D11"/>
    <mergeCell ref="A5:D5"/>
    <mergeCell ref="A6:D6"/>
    <mergeCell ref="A1:D2"/>
    <mergeCell ref="A3:D3"/>
    <mergeCell ref="B7:B8"/>
  </mergeCells>
  <phoneticPr fontId="2" type="noConversion"/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C1A4-42D6-4D2D-A7F5-A01B38389E9F}">
  <sheetPr>
    <outlinePr summaryBelow="0" summaryRight="0"/>
  </sheetPr>
  <dimension ref="A1:BD1030"/>
  <sheetViews>
    <sheetView tabSelected="1" zoomScale="88" zoomScaleNormal="88" workbookViewId="0">
      <pane xSplit="9" ySplit="2" topLeftCell="J3" activePane="bottomRight" state="frozen"/>
      <selection pane="topRight" activeCell="H1" sqref="H1"/>
      <selection pane="bottomLeft" activeCell="A3" sqref="A3"/>
      <selection pane="bottomRight" activeCell="I95" sqref="A1:I95"/>
    </sheetView>
  </sheetViews>
  <sheetFormatPr defaultColWidth="14.44140625" defaultRowHeight="15.75" customHeight="1" x14ac:dyDescent="0.25"/>
  <cols>
    <col min="1" max="1" width="10.33203125" style="283" customWidth="1"/>
    <col min="2" max="2" width="71.5546875" style="7" customWidth="1"/>
    <col min="3" max="3" width="8" style="7" customWidth="1"/>
    <col min="4" max="4" width="11.6640625" style="108" customWidth="1"/>
    <col min="5" max="5" width="8.77734375" style="7" customWidth="1"/>
    <col min="6" max="6" width="7" style="7" customWidth="1"/>
    <col min="7" max="7" width="7.21875" style="7" customWidth="1"/>
    <col min="8" max="8" width="15" style="7" customWidth="1"/>
    <col min="9" max="9" width="14.6640625" style="7" customWidth="1"/>
    <col min="10" max="56" width="2.21875" customWidth="1"/>
  </cols>
  <sheetData>
    <row r="1" spans="1:56" ht="30" customHeight="1" x14ac:dyDescent="0.25">
      <c r="B1" s="375" t="s">
        <v>220</v>
      </c>
      <c r="C1" s="376"/>
      <c r="D1" s="377"/>
      <c r="E1" s="381" t="s">
        <v>146</v>
      </c>
      <c r="F1" s="382"/>
      <c r="G1" s="382"/>
      <c r="H1" s="382"/>
      <c r="I1" s="383"/>
    </row>
    <row r="2" spans="1:56" ht="19.2" customHeight="1" thickBot="1" x14ac:dyDescent="0.3">
      <c r="B2" s="378"/>
      <c r="C2" s="379"/>
      <c r="D2" s="380"/>
      <c r="E2" s="384"/>
      <c r="F2" s="385"/>
      <c r="G2" s="385"/>
      <c r="H2" s="385"/>
      <c r="I2" s="386"/>
    </row>
    <row r="3" spans="1:56" s="579" customFormat="1" ht="21.6" customHeight="1" x14ac:dyDescent="0.25">
      <c r="A3" s="577" t="s">
        <v>247</v>
      </c>
      <c r="B3" s="387" t="s">
        <v>142</v>
      </c>
      <c r="C3" s="570" t="s">
        <v>222</v>
      </c>
      <c r="D3" s="571" t="s">
        <v>1</v>
      </c>
      <c r="E3" s="572" t="s">
        <v>223</v>
      </c>
      <c r="F3" s="572"/>
      <c r="G3" s="572" t="s">
        <v>224</v>
      </c>
      <c r="H3" s="572" t="s">
        <v>225</v>
      </c>
      <c r="I3" s="578" t="s">
        <v>226</v>
      </c>
    </row>
    <row r="4" spans="1:56" s="579" customFormat="1" ht="27.6" customHeight="1" thickBot="1" x14ac:dyDescent="0.3">
      <c r="A4" s="577"/>
      <c r="B4" s="573"/>
      <c r="C4" s="574"/>
      <c r="D4" s="575"/>
      <c r="E4" s="576"/>
      <c r="F4" s="576"/>
      <c r="G4" s="576"/>
      <c r="H4" s="576"/>
      <c r="I4" s="580"/>
    </row>
    <row r="5" spans="1:56" ht="13.2" x14ac:dyDescent="0.25">
      <c r="B5" s="567" t="s">
        <v>108</v>
      </c>
      <c r="C5" s="568"/>
      <c r="D5" s="568"/>
      <c r="E5" s="568"/>
      <c r="F5" s="568"/>
      <c r="G5" s="568"/>
      <c r="H5" s="568"/>
      <c r="I5" s="569"/>
    </row>
    <row r="6" spans="1:56" ht="13.2" x14ac:dyDescent="0.25">
      <c r="B6" s="365" t="s">
        <v>109</v>
      </c>
      <c r="C6" s="366"/>
      <c r="D6" s="366"/>
      <c r="E6" s="366"/>
      <c r="F6" s="366"/>
      <c r="G6" s="366"/>
      <c r="H6" s="366"/>
      <c r="I6" s="367"/>
    </row>
    <row r="7" spans="1:56" ht="13.2" x14ac:dyDescent="0.25">
      <c r="A7" s="510">
        <v>97629</v>
      </c>
      <c r="B7" s="514" t="s">
        <v>111</v>
      </c>
      <c r="C7" s="515" t="s">
        <v>151</v>
      </c>
      <c r="D7" s="516">
        <f>250.59*0.05</f>
        <v>12.529500000000001</v>
      </c>
      <c r="E7" s="519">
        <v>139.19</v>
      </c>
      <c r="F7" s="520"/>
      <c r="G7" s="521" t="s">
        <v>241</v>
      </c>
      <c r="H7" s="518">
        <f>E7*1.245</f>
        <v>173.29155</v>
      </c>
      <c r="I7" s="533">
        <f>D7*H7</f>
        <v>2171.2564757250002</v>
      </c>
    </row>
    <row r="8" spans="1:56" ht="15.6" customHeight="1" x14ac:dyDescent="0.25">
      <c r="A8" s="534" t="s">
        <v>147</v>
      </c>
      <c r="B8" s="535" t="s">
        <v>9</v>
      </c>
      <c r="C8" s="536" t="s">
        <v>4</v>
      </c>
      <c r="D8" s="516">
        <v>250.59</v>
      </c>
      <c r="E8" s="537">
        <f>199.88+36.38</f>
        <v>236.26</v>
      </c>
      <c r="F8" s="538"/>
      <c r="G8" s="521" t="s">
        <v>241</v>
      </c>
      <c r="H8" s="518">
        <f>E8*1.245</f>
        <v>294.14370000000002</v>
      </c>
      <c r="I8" s="533">
        <f t="shared" ref="I8:I13" si="0">D8*H8</f>
        <v>73709.469783000008</v>
      </c>
    </row>
    <row r="9" spans="1:56" ht="13.2" x14ac:dyDescent="0.25">
      <c r="A9" s="510">
        <v>97595</v>
      </c>
      <c r="B9" s="514" t="s">
        <v>13</v>
      </c>
      <c r="C9" s="515" t="s">
        <v>0</v>
      </c>
      <c r="D9" s="516">
        <v>7</v>
      </c>
      <c r="E9" s="519">
        <v>121.3</v>
      </c>
      <c r="F9" s="520"/>
      <c r="G9" s="521" t="s">
        <v>241</v>
      </c>
      <c r="H9" s="518">
        <f>E9*1.245</f>
        <v>151.01850000000002</v>
      </c>
      <c r="I9" s="533">
        <f t="shared" si="0"/>
        <v>1057.1295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13.2" x14ac:dyDescent="0.25">
      <c r="A10" s="510">
        <v>91977</v>
      </c>
      <c r="B10" s="514" t="s">
        <v>14</v>
      </c>
      <c r="C10" s="515" t="s">
        <v>0</v>
      </c>
      <c r="D10" s="516">
        <v>2</v>
      </c>
      <c r="E10" s="519">
        <v>126.52</v>
      </c>
      <c r="F10" s="520"/>
      <c r="G10" s="521" t="s">
        <v>241</v>
      </c>
      <c r="H10" s="518">
        <f>E10*1.245</f>
        <v>157.51740000000001</v>
      </c>
      <c r="I10" s="533">
        <f t="shared" si="0"/>
        <v>315.03480000000002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ht="13.2" x14ac:dyDescent="0.25">
      <c r="A11" s="510"/>
      <c r="B11" s="511" t="s">
        <v>112</v>
      </c>
      <c r="C11" s="512"/>
      <c r="D11" s="512"/>
      <c r="E11" s="512"/>
      <c r="F11" s="512"/>
      <c r="G11" s="512"/>
      <c r="H11" s="512"/>
      <c r="I11" s="513"/>
    </row>
    <row r="12" spans="1:56" ht="13.2" x14ac:dyDescent="0.25">
      <c r="A12" s="566" t="s">
        <v>246</v>
      </c>
      <c r="B12" s="514" t="s">
        <v>15</v>
      </c>
      <c r="C12" s="515" t="s">
        <v>0</v>
      </c>
      <c r="D12" s="516">
        <v>1</v>
      </c>
      <c r="E12" s="517">
        <v>2800</v>
      </c>
      <c r="F12" s="517"/>
      <c r="G12" s="521" t="s">
        <v>241</v>
      </c>
      <c r="H12" s="518">
        <f>E12*1.245</f>
        <v>3486.0000000000005</v>
      </c>
      <c r="I12" s="533">
        <f t="shared" si="0"/>
        <v>3486.0000000000005</v>
      </c>
    </row>
    <row r="13" spans="1:56" ht="13.2" x14ac:dyDescent="0.25">
      <c r="A13" s="566" t="s">
        <v>246</v>
      </c>
      <c r="B13" s="514" t="s">
        <v>16</v>
      </c>
      <c r="C13" s="515" t="s">
        <v>0</v>
      </c>
      <c r="D13" s="516">
        <v>1</v>
      </c>
      <c r="E13" s="517">
        <v>8050</v>
      </c>
      <c r="F13" s="517"/>
      <c r="G13" s="521" t="s">
        <v>241</v>
      </c>
      <c r="H13" s="518">
        <f>E13*1.245</f>
        <v>10022.25</v>
      </c>
      <c r="I13" s="533">
        <f t="shared" si="0"/>
        <v>10022.25</v>
      </c>
    </row>
    <row r="14" spans="1:56" ht="13.2" x14ac:dyDescent="0.25">
      <c r="A14" s="566" t="s">
        <v>246</v>
      </c>
      <c r="B14" s="511" t="s">
        <v>113</v>
      </c>
      <c r="C14" s="512"/>
      <c r="D14" s="512"/>
      <c r="E14" s="512"/>
      <c r="F14" s="512"/>
      <c r="G14" s="512"/>
      <c r="H14" s="512"/>
      <c r="I14" s="513"/>
    </row>
    <row r="15" spans="1:56" ht="13.2" x14ac:dyDescent="0.25">
      <c r="A15" s="510">
        <v>97334</v>
      </c>
      <c r="B15" s="514" t="s">
        <v>118</v>
      </c>
      <c r="C15" s="515" t="s">
        <v>17</v>
      </c>
      <c r="D15" s="516">
        <f>5.2+5.25+6.2+6.2+5.35+6</f>
        <v>34.199999999999996</v>
      </c>
      <c r="E15" s="519">
        <v>80.510000000000005</v>
      </c>
      <c r="F15" s="520"/>
      <c r="G15" s="521" t="s">
        <v>241</v>
      </c>
      <c r="H15" s="518">
        <f>E15*1.245</f>
        <v>100.23495000000001</v>
      </c>
      <c r="I15" s="533">
        <f t="shared" ref="I15:I16" si="1">D15*H15</f>
        <v>3428.0352899999998</v>
      </c>
    </row>
    <row r="16" spans="1:56" ht="13.2" x14ac:dyDescent="0.25">
      <c r="A16" s="510">
        <v>89580</v>
      </c>
      <c r="B16" s="514" t="s">
        <v>119</v>
      </c>
      <c r="C16" s="515" t="s">
        <v>17</v>
      </c>
      <c r="D16" s="516">
        <f>5.2+3</f>
        <v>8.1999999999999993</v>
      </c>
      <c r="E16" s="519">
        <v>111.47</v>
      </c>
      <c r="F16" s="520"/>
      <c r="G16" s="521" t="s">
        <v>241</v>
      </c>
      <c r="H16" s="518">
        <f>E16*1.245</f>
        <v>138.78015000000002</v>
      </c>
      <c r="I16" s="533">
        <f t="shared" si="1"/>
        <v>1137.9972300000002</v>
      </c>
    </row>
    <row r="17" spans="1:9" ht="13.2" x14ac:dyDescent="0.25">
      <c r="A17" s="510"/>
      <c r="B17" s="511" t="s">
        <v>114</v>
      </c>
      <c r="C17" s="512"/>
      <c r="D17" s="512"/>
      <c r="E17" s="512"/>
      <c r="F17" s="512"/>
      <c r="G17" s="512"/>
      <c r="H17" s="512"/>
      <c r="I17" s="513"/>
    </row>
    <row r="18" spans="1:9" ht="13.2" x14ac:dyDescent="0.25">
      <c r="A18" s="566" t="s">
        <v>246</v>
      </c>
      <c r="B18" s="522" t="s">
        <v>152</v>
      </c>
      <c r="C18" s="515" t="s">
        <v>0</v>
      </c>
      <c r="D18" s="516">
        <f>4*4</f>
        <v>16</v>
      </c>
      <c r="E18" s="519">
        <v>31.8</v>
      </c>
      <c r="F18" s="520"/>
      <c r="G18" s="521" t="s">
        <v>241</v>
      </c>
      <c r="H18" s="518">
        <f>E18*1.245</f>
        <v>39.591000000000001</v>
      </c>
      <c r="I18" s="533">
        <f t="shared" ref="I18:I19" si="2">D18*H18</f>
        <v>633.45600000000002</v>
      </c>
    </row>
    <row r="19" spans="1:9" ht="13.2" x14ac:dyDescent="0.25">
      <c r="A19" s="510">
        <v>102500</v>
      </c>
      <c r="B19" s="514" t="s">
        <v>10</v>
      </c>
      <c r="C19" s="515" t="s">
        <v>17</v>
      </c>
      <c r="D19" s="516">
        <f>6.2*12</f>
        <v>74.400000000000006</v>
      </c>
      <c r="E19" s="519">
        <v>4.76</v>
      </c>
      <c r="F19" s="520"/>
      <c r="G19" s="521" t="s">
        <v>241</v>
      </c>
      <c r="H19" s="518">
        <f>E19*1.245</f>
        <v>5.9262000000000006</v>
      </c>
      <c r="I19" s="533">
        <f t="shared" si="2"/>
        <v>440.90928000000008</v>
      </c>
    </row>
    <row r="20" spans="1:9" ht="13.2" x14ac:dyDescent="0.25">
      <c r="A20" s="510"/>
      <c r="B20" s="511" t="s">
        <v>110</v>
      </c>
      <c r="C20" s="512"/>
      <c r="D20" s="512"/>
      <c r="E20" s="512"/>
      <c r="F20" s="512"/>
      <c r="G20" s="512"/>
      <c r="H20" s="512"/>
      <c r="I20" s="513"/>
    </row>
    <row r="21" spans="1:9" ht="13.2" x14ac:dyDescent="0.25">
      <c r="A21" s="510"/>
      <c r="B21" s="511" t="s">
        <v>154</v>
      </c>
      <c r="C21" s="512"/>
      <c r="D21" s="512"/>
      <c r="E21" s="512"/>
      <c r="F21" s="512"/>
      <c r="G21" s="512"/>
      <c r="H21" s="512"/>
      <c r="I21" s="513"/>
    </row>
    <row r="22" spans="1:9" ht="13.2" x14ac:dyDescent="0.25">
      <c r="A22" s="566" t="s">
        <v>246</v>
      </c>
      <c r="B22" s="514" t="s">
        <v>116</v>
      </c>
      <c r="C22" s="515" t="s">
        <v>0</v>
      </c>
      <c r="D22" s="516">
        <v>4</v>
      </c>
      <c r="E22" s="519">
        <v>220</v>
      </c>
      <c r="F22" s="520"/>
      <c r="G22" s="521" t="s">
        <v>241</v>
      </c>
      <c r="H22" s="518">
        <f>E22*1.245</f>
        <v>273.90000000000003</v>
      </c>
      <c r="I22" s="533">
        <f t="shared" ref="I22:I24" si="3">D22*H22</f>
        <v>1095.6000000000001</v>
      </c>
    </row>
    <row r="23" spans="1:9" ht="13.2" x14ac:dyDescent="0.25">
      <c r="A23" s="510">
        <v>88484</v>
      </c>
      <c r="B23" s="514" t="s">
        <v>115</v>
      </c>
      <c r="C23" s="515" t="s">
        <v>4</v>
      </c>
      <c r="D23" s="516">
        <f>7.19*3*2</f>
        <v>43.14</v>
      </c>
      <c r="E23" s="519">
        <v>3.76</v>
      </c>
      <c r="F23" s="520"/>
      <c r="G23" s="521" t="s">
        <v>241</v>
      </c>
      <c r="H23" s="518">
        <f>E23*1.245</f>
        <v>4.6812000000000005</v>
      </c>
      <c r="I23" s="533">
        <f t="shared" si="3"/>
        <v>201.94696800000003</v>
      </c>
    </row>
    <row r="24" spans="1:9" ht="13.2" x14ac:dyDescent="0.25">
      <c r="A24" s="510" t="s">
        <v>149</v>
      </c>
      <c r="B24" s="514" t="s">
        <v>54</v>
      </c>
      <c r="C24" s="515" t="s">
        <v>4</v>
      </c>
      <c r="D24" s="516">
        <f>7.19*3*2</f>
        <v>43.14</v>
      </c>
      <c r="E24" s="519">
        <f>25.72+16.27</f>
        <v>41.989999999999995</v>
      </c>
      <c r="F24" s="520"/>
      <c r="G24" s="521" t="s">
        <v>241</v>
      </c>
      <c r="H24" s="518">
        <f>E24*1.245</f>
        <v>52.277549999999998</v>
      </c>
      <c r="I24" s="533">
        <f t="shared" si="3"/>
        <v>2255.2535069999999</v>
      </c>
    </row>
    <row r="25" spans="1:9" ht="13.2" x14ac:dyDescent="0.25">
      <c r="A25" s="510"/>
      <c r="B25" s="523" t="s">
        <v>117</v>
      </c>
      <c r="C25" s="524"/>
      <c r="D25" s="524"/>
      <c r="E25" s="524"/>
      <c r="F25" s="524"/>
      <c r="G25" s="524"/>
      <c r="H25" s="524"/>
      <c r="I25" s="525"/>
    </row>
    <row r="26" spans="1:9" ht="13.2" x14ac:dyDescent="0.25">
      <c r="A26" s="510"/>
      <c r="B26" s="523" t="s">
        <v>155</v>
      </c>
      <c r="C26" s="524"/>
      <c r="D26" s="524"/>
      <c r="E26" s="524"/>
      <c r="F26" s="524"/>
      <c r="G26" s="524"/>
      <c r="H26" s="524"/>
      <c r="I26" s="525"/>
    </row>
    <row r="27" spans="1:9" ht="13.2" x14ac:dyDescent="0.25">
      <c r="A27" s="510">
        <v>100699</v>
      </c>
      <c r="B27" s="514" t="s">
        <v>22</v>
      </c>
      <c r="C27" s="515" t="s">
        <v>0</v>
      </c>
      <c r="D27" s="516">
        <v>7</v>
      </c>
      <c r="E27" s="519">
        <v>106.63</v>
      </c>
      <c r="F27" s="520"/>
      <c r="G27" s="521" t="s">
        <v>241</v>
      </c>
      <c r="H27" s="518">
        <f>E27*1.245</f>
        <v>132.75435000000002</v>
      </c>
      <c r="I27" s="533">
        <f t="shared" ref="I27" si="4">D27*H27</f>
        <v>929.28045000000009</v>
      </c>
    </row>
    <row r="28" spans="1:9" ht="13.2" x14ac:dyDescent="0.25">
      <c r="A28" s="510"/>
      <c r="B28" s="523" t="s">
        <v>156</v>
      </c>
      <c r="C28" s="524"/>
      <c r="D28" s="524"/>
      <c r="E28" s="524"/>
      <c r="F28" s="524"/>
      <c r="G28" s="524"/>
      <c r="H28" s="524"/>
      <c r="I28" s="525"/>
    </row>
    <row r="29" spans="1:9" ht="13.2" x14ac:dyDescent="0.25">
      <c r="A29" s="566" t="s">
        <v>246</v>
      </c>
      <c r="B29" s="514" t="s">
        <v>49</v>
      </c>
      <c r="C29" s="515" t="s">
        <v>0</v>
      </c>
      <c r="D29" s="516">
        <v>1</v>
      </c>
      <c r="E29" s="519">
        <v>100</v>
      </c>
      <c r="F29" s="520"/>
      <c r="G29" s="521" t="s">
        <v>241</v>
      </c>
      <c r="H29" s="518">
        <f>E29*1.245</f>
        <v>124.50000000000001</v>
      </c>
      <c r="I29" s="533">
        <f t="shared" ref="I29" si="5">D29*H29</f>
        <v>124.50000000000001</v>
      </c>
    </row>
    <row r="30" spans="1:9" ht="13.2" x14ac:dyDescent="0.25">
      <c r="A30" s="510"/>
      <c r="B30" s="523" t="s">
        <v>157</v>
      </c>
      <c r="C30" s="524"/>
      <c r="D30" s="524"/>
      <c r="E30" s="524"/>
      <c r="F30" s="524"/>
      <c r="G30" s="524"/>
      <c r="H30" s="524"/>
      <c r="I30" s="525"/>
    </row>
    <row r="31" spans="1:9" ht="13.2" x14ac:dyDescent="0.25">
      <c r="A31" s="510">
        <v>88484</v>
      </c>
      <c r="B31" s="514" t="s">
        <v>115</v>
      </c>
      <c r="C31" s="515" t="s">
        <v>4</v>
      </c>
      <c r="D31" s="516">
        <f>5.35*3*2</f>
        <v>32.099999999999994</v>
      </c>
      <c r="E31" s="519">
        <v>3.76</v>
      </c>
      <c r="F31" s="520"/>
      <c r="G31" s="521" t="s">
        <v>241</v>
      </c>
      <c r="H31" s="518">
        <f>E31*1.245</f>
        <v>4.6812000000000005</v>
      </c>
      <c r="I31" s="533">
        <f t="shared" ref="I31:I32" si="6">D31*H31</f>
        <v>150.26651999999999</v>
      </c>
    </row>
    <row r="32" spans="1:9" ht="13.2" x14ac:dyDescent="0.25">
      <c r="A32" s="510" t="s">
        <v>149</v>
      </c>
      <c r="B32" s="514" t="s">
        <v>54</v>
      </c>
      <c r="C32" s="515" t="s">
        <v>4</v>
      </c>
      <c r="D32" s="516">
        <f>5.35*3*2</f>
        <v>32.099999999999994</v>
      </c>
      <c r="E32" s="519">
        <f>25.72+16.27</f>
        <v>41.989999999999995</v>
      </c>
      <c r="F32" s="520"/>
      <c r="G32" s="521" t="s">
        <v>241</v>
      </c>
      <c r="H32" s="518">
        <f>E32*1.245</f>
        <v>52.277549999999998</v>
      </c>
      <c r="I32" s="533">
        <f t="shared" si="6"/>
        <v>1678.1093549999996</v>
      </c>
    </row>
    <row r="33" spans="1:9" ht="13.2" x14ac:dyDescent="0.25">
      <c r="A33" s="510"/>
      <c r="B33" s="523" t="s">
        <v>143</v>
      </c>
      <c r="C33" s="524"/>
      <c r="D33" s="524"/>
      <c r="E33" s="524"/>
      <c r="F33" s="524"/>
      <c r="G33" s="524"/>
      <c r="H33" s="524"/>
      <c r="I33" s="525"/>
    </row>
    <row r="34" spans="1:9" ht="13.2" x14ac:dyDescent="0.25">
      <c r="A34" s="566" t="s">
        <v>246</v>
      </c>
      <c r="B34" s="514" t="s">
        <v>31</v>
      </c>
      <c r="C34" s="515" t="s">
        <v>4</v>
      </c>
      <c r="D34" s="516">
        <v>98.97</v>
      </c>
      <c r="E34" s="519">
        <f>303.12+240</f>
        <v>543.12</v>
      </c>
      <c r="F34" s="520"/>
      <c r="G34" s="521" t="s">
        <v>241</v>
      </c>
      <c r="H34" s="518">
        <f>E34*1.245</f>
        <v>676.1844000000001</v>
      </c>
      <c r="I34" s="533">
        <f t="shared" ref="I34:I40" si="7">D34*H34</f>
        <v>66921.97006800001</v>
      </c>
    </row>
    <row r="35" spans="1:9" ht="13.2" x14ac:dyDescent="0.25">
      <c r="A35" s="566" t="s">
        <v>246</v>
      </c>
      <c r="B35" s="514" t="s">
        <v>27</v>
      </c>
      <c r="C35" s="515" t="s">
        <v>0</v>
      </c>
      <c r="D35" s="516">
        <v>13</v>
      </c>
      <c r="E35" s="526">
        <f>57.09+65</f>
        <v>122.09</v>
      </c>
      <c r="F35" s="527"/>
      <c r="G35" s="521" t="s">
        <v>241</v>
      </c>
      <c r="H35" s="518">
        <f t="shared" ref="H35:H40" si="8">E35*1.245</f>
        <v>152.00205000000003</v>
      </c>
      <c r="I35" s="533">
        <f t="shared" si="7"/>
        <v>1976.0266500000002</v>
      </c>
    </row>
    <row r="36" spans="1:9" ht="13.2" x14ac:dyDescent="0.25">
      <c r="A36" s="566" t="s">
        <v>246</v>
      </c>
      <c r="B36" s="514" t="s">
        <v>106</v>
      </c>
      <c r="C36" s="515" t="s">
        <v>0</v>
      </c>
      <c r="D36" s="516">
        <v>1</v>
      </c>
      <c r="E36" s="526">
        <f>(41.24+24)*3*2.85</f>
        <v>557.80200000000013</v>
      </c>
      <c r="F36" s="527"/>
      <c r="G36" s="521" t="s">
        <v>241</v>
      </c>
      <c r="H36" s="518">
        <f t="shared" si="8"/>
        <v>694.46349000000021</v>
      </c>
      <c r="I36" s="533">
        <f t="shared" si="7"/>
        <v>694.46349000000021</v>
      </c>
    </row>
    <row r="37" spans="1:9" ht="13.2" x14ac:dyDescent="0.25">
      <c r="A37" s="566" t="s">
        <v>246</v>
      </c>
      <c r="B37" s="514" t="s">
        <v>42</v>
      </c>
      <c r="C37" s="515" t="s">
        <v>17</v>
      </c>
      <c r="D37" s="516">
        <v>3.48</v>
      </c>
      <c r="E37" s="517">
        <v>423.3</v>
      </c>
      <c r="F37" s="517"/>
      <c r="G37" s="521" t="s">
        <v>241</v>
      </c>
      <c r="H37" s="518">
        <f t="shared" si="8"/>
        <v>527.00850000000003</v>
      </c>
      <c r="I37" s="533">
        <f t="shared" si="7"/>
        <v>1833.9895800000002</v>
      </c>
    </row>
    <row r="38" spans="1:9" ht="13.2" x14ac:dyDescent="0.25">
      <c r="A38" s="510">
        <v>96359</v>
      </c>
      <c r="B38" s="514" t="s">
        <v>245</v>
      </c>
      <c r="C38" s="515" t="s">
        <v>4</v>
      </c>
      <c r="D38" s="516">
        <v>2.84</v>
      </c>
      <c r="E38" s="519">
        <v>120.33</v>
      </c>
      <c r="F38" s="520"/>
      <c r="G38" s="521" t="s">
        <v>241</v>
      </c>
      <c r="H38" s="518">
        <f t="shared" si="8"/>
        <v>149.81085000000002</v>
      </c>
      <c r="I38" s="533">
        <f t="shared" si="7"/>
        <v>425.46281400000004</v>
      </c>
    </row>
    <row r="39" spans="1:9" ht="13.2" x14ac:dyDescent="0.25">
      <c r="A39" s="566" t="s">
        <v>246</v>
      </c>
      <c r="B39" s="514" t="s">
        <v>19</v>
      </c>
      <c r="C39" s="515" t="s">
        <v>0</v>
      </c>
      <c r="D39" s="516">
        <v>2</v>
      </c>
      <c r="E39" s="519">
        <v>80</v>
      </c>
      <c r="F39" s="520"/>
      <c r="G39" s="521" t="s">
        <v>241</v>
      </c>
      <c r="H39" s="518">
        <f t="shared" si="8"/>
        <v>99.600000000000009</v>
      </c>
      <c r="I39" s="533">
        <f t="shared" si="7"/>
        <v>199.20000000000002</v>
      </c>
    </row>
    <row r="40" spans="1:9" ht="13.2" x14ac:dyDescent="0.25">
      <c r="A40" s="510">
        <v>90793</v>
      </c>
      <c r="B40" s="514" t="s">
        <v>20</v>
      </c>
      <c r="C40" s="515" t="s">
        <v>0</v>
      </c>
      <c r="D40" s="516">
        <v>2</v>
      </c>
      <c r="E40" s="519">
        <v>1004.97</v>
      </c>
      <c r="F40" s="520"/>
      <c r="G40" s="521" t="s">
        <v>241</v>
      </c>
      <c r="H40" s="518">
        <f t="shared" si="8"/>
        <v>1251.1876500000001</v>
      </c>
      <c r="I40" s="533">
        <f t="shared" si="7"/>
        <v>2502.3753000000002</v>
      </c>
    </row>
    <row r="41" spans="1:9" ht="13.2" x14ac:dyDescent="0.25">
      <c r="A41" s="510"/>
      <c r="B41" s="511" t="s">
        <v>144</v>
      </c>
      <c r="C41" s="512"/>
      <c r="D41" s="512"/>
      <c r="E41" s="512"/>
      <c r="F41" s="512"/>
      <c r="G41" s="512"/>
      <c r="H41" s="512"/>
      <c r="I41" s="513"/>
    </row>
    <row r="42" spans="1:9" ht="13.2" x14ac:dyDescent="0.25">
      <c r="A42" s="566" t="s">
        <v>246</v>
      </c>
      <c r="B42" s="514" t="s">
        <v>28</v>
      </c>
      <c r="C42" s="515" t="s">
        <v>0</v>
      </c>
      <c r="D42" s="516">
        <v>2</v>
      </c>
      <c r="E42" s="526">
        <f>100+300</f>
        <v>400</v>
      </c>
      <c r="F42" s="527"/>
      <c r="G42" s="521" t="s">
        <v>241</v>
      </c>
      <c r="H42" s="518">
        <f>E42*1.245</f>
        <v>498.00000000000006</v>
      </c>
      <c r="I42" s="533">
        <f t="shared" ref="I42:I46" si="9">D42*H42</f>
        <v>996.00000000000011</v>
      </c>
    </row>
    <row r="43" spans="1:9" ht="13.2" x14ac:dyDescent="0.25">
      <c r="A43" s="566" t="s">
        <v>246</v>
      </c>
      <c r="B43" s="514" t="s">
        <v>29</v>
      </c>
      <c r="C43" s="515" t="s">
        <v>0</v>
      </c>
      <c r="D43" s="516">
        <v>2</v>
      </c>
      <c r="E43" s="526">
        <f>350+750</f>
        <v>1100</v>
      </c>
      <c r="F43" s="527"/>
      <c r="G43" s="521" t="s">
        <v>241</v>
      </c>
      <c r="H43" s="518">
        <f t="shared" ref="H43:H55" si="10">E43*1.245</f>
        <v>1369.5000000000002</v>
      </c>
      <c r="I43" s="533">
        <f t="shared" si="9"/>
        <v>2739.0000000000005</v>
      </c>
    </row>
    <row r="44" spans="1:9" ht="13.2" x14ac:dyDescent="0.25">
      <c r="A44" s="566" t="s">
        <v>246</v>
      </c>
      <c r="B44" s="514" t="s">
        <v>43</v>
      </c>
      <c r="C44" s="515" t="s">
        <v>0</v>
      </c>
      <c r="D44" s="516">
        <v>2</v>
      </c>
      <c r="E44" s="526">
        <f>600+300</f>
        <v>900</v>
      </c>
      <c r="F44" s="527"/>
      <c r="G44" s="521" t="s">
        <v>241</v>
      </c>
      <c r="H44" s="518">
        <f t="shared" si="10"/>
        <v>1120.5</v>
      </c>
      <c r="I44" s="533">
        <f t="shared" si="9"/>
        <v>2241</v>
      </c>
    </row>
    <row r="45" spans="1:9" ht="13.2" x14ac:dyDescent="0.25">
      <c r="A45" s="510">
        <v>96359</v>
      </c>
      <c r="B45" s="514" t="s">
        <v>153</v>
      </c>
      <c r="C45" s="515" t="s">
        <v>4</v>
      </c>
      <c r="D45" s="516">
        <f>1.64*3</f>
        <v>4.92</v>
      </c>
      <c r="E45" s="519">
        <v>120.33</v>
      </c>
      <c r="F45" s="520"/>
      <c r="G45" s="521" t="s">
        <v>241</v>
      </c>
      <c r="H45" s="518">
        <f t="shared" si="10"/>
        <v>149.81085000000002</v>
      </c>
      <c r="I45" s="533">
        <f t="shared" si="9"/>
        <v>737.06938200000002</v>
      </c>
    </row>
    <row r="46" spans="1:9" ht="13.2" x14ac:dyDescent="0.25">
      <c r="A46" s="510">
        <v>102185</v>
      </c>
      <c r="B46" s="522" t="s">
        <v>252</v>
      </c>
      <c r="C46" s="515" t="s">
        <v>0</v>
      </c>
      <c r="D46" s="516">
        <v>1</v>
      </c>
      <c r="E46" s="528">
        <f>4022.82*2</f>
        <v>8045.64</v>
      </c>
      <c r="F46" s="528"/>
      <c r="G46" s="521" t="s">
        <v>241</v>
      </c>
      <c r="H46" s="518">
        <f t="shared" ref="H46" si="11">E46*1.245</f>
        <v>10016.821800000002</v>
      </c>
      <c r="I46" s="533">
        <f t="shared" si="9"/>
        <v>10016.821800000002</v>
      </c>
    </row>
    <row r="47" spans="1:9" ht="13.2" x14ac:dyDescent="0.25">
      <c r="A47" s="510"/>
      <c r="B47" s="523" t="s">
        <v>120</v>
      </c>
      <c r="C47" s="524"/>
      <c r="D47" s="524"/>
      <c r="E47" s="524"/>
      <c r="F47" s="524"/>
      <c r="G47" s="524"/>
      <c r="H47" s="524"/>
      <c r="I47" s="525"/>
    </row>
    <row r="48" spans="1:9" ht="13.2" x14ac:dyDescent="0.25">
      <c r="A48" s="510">
        <v>102185</v>
      </c>
      <c r="B48" s="522" t="s">
        <v>132</v>
      </c>
      <c r="C48" s="515" t="s">
        <v>0</v>
      </c>
      <c r="D48" s="516">
        <v>1</v>
      </c>
      <c r="E48" s="528">
        <v>4022.82</v>
      </c>
      <c r="F48" s="528"/>
      <c r="G48" s="521" t="s">
        <v>241</v>
      </c>
      <c r="H48" s="518">
        <f t="shared" si="10"/>
        <v>5008.4109000000008</v>
      </c>
      <c r="I48" s="533">
        <f t="shared" ref="I48:I52" si="12">D48*H48</f>
        <v>5008.4109000000008</v>
      </c>
    </row>
    <row r="49" spans="1:9" ht="13.2" x14ac:dyDescent="0.25">
      <c r="A49" s="566" t="s">
        <v>246</v>
      </c>
      <c r="B49" s="514" t="s">
        <v>48</v>
      </c>
      <c r="C49" s="515" t="s">
        <v>0</v>
      </c>
      <c r="D49" s="516">
        <v>1</v>
      </c>
      <c r="E49" s="528">
        <v>4268.1400000000003</v>
      </c>
      <c r="F49" s="528"/>
      <c r="G49" s="521" t="s">
        <v>241</v>
      </c>
      <c r="H49" s="518">
        <f t="shared" si="10"/>
        <v>5313.8343000000004</v>
      </c>
      <c r="I49" s="533">
        <f t="shared" si="12"/>
        <v>5313.8343000000004</v>
      </c>
    </row>
    <row r="50" spans="1:9" ht="13.2" x14ac:dyDescent="0.25">
      <c r="A50" s="566" t="s">
        <v>246</v>
      </c>
      <c r="B50" s="514" t="s">
        <v>47</v>
      </c>
      <c r="C50" s="515" t="s">
        <v>0</v>
      </c>
      <c r="D50" s="516">
        <v>1</v>
      </c>
      <c r="E50" s="528">
        <v>7611.46</v>
      </c>
      <c r="F50" s="528"/>
      <c r="G50" s="521" t="s">
        <v>241</v>
      </c>
      <c r="H50" s="518">
        <f t="shared" si="10"/>
        <v>9476.2677000000003</v>
      </c>
      <c r="I50" s="533">
        <f t="shared" si="12"/>
        <v>9476.2677000000003</v>
      </c>
    </row>
    <row r="51" spans="1:9" ht="13.2" x14ac:dyDescent="0.25">
      <c r="A51" s="566" t="s">
        <v>246</v>
      </c>
      <c r="B51" s="514" t="s">
        <v>46</v>
      </c>
      <c r="C51" s="515" t="s">
        <v>0</v>
      </c>
      <c r="D51" s="516">
        <v>1</v>
      </c>
      <c r="E51" s="528">
        <v>4215.7</v>
      </c>
      <c r="F51" s="528"/>
      <c r="G51" s="521" t="s">
        <v>241</v>
      </c>
      <c r="H51" s="518">
        <f t="shared" si="10"/>
        <v>5248.5465000000004</v>
      </c>
      <c r="I51" s="533">
        <f t="shared" si="12"/>
        <v>5248.5465000000004</v>
      </c>
    </row>
    <row r="52" spans="1:9" ht="13.2" x14ac:dyDescent="0.25">
      <c r="A52" s="566" t="s">
        <v>246</v>
      </c>
      <c r="B52" s="514" t="s">
        <v>45</v>
      </c>
      <c r="C52" s="515" t="s">
        <v>0</v>
      </c>
      <c r="D52" s="516">
        <v>1</v>
      </c>
      <c r="E52" s="528">
        <v>3814</v>
      </c>
      <c r="F52" s="528"/>
      <c r="G52" s="521" t="s">
        <v>241</v>
      </c>
      <c r="H52" s="518">
        <f t="shared" si="10"/>
        <v>4748.43</v>
      </c>
      <c r="I52" s="533">
        <f t="shared" si="12"/>
        <v>4748.43</v>
      </c>
    </row>
    <row r="53" spans="1:9" ht="13.2" x14ac:dyDescent="0.25">
      <c r="A53" s="510"/>
      <c r="B53" s="523" t="s">
        <v>141</v>
      </c>
      <c r="C53" s="524"/>
      <c r="D53" s="524"/>
      <c r="E53" s="524"/>
      <c r="F53" s="524"/>
      <c r="G53" s="524"/>
      <c r="H53" s="524"/>
      <c r="I53" s="525"/>
    </row>
    <row r="54" spans="1:9" ht="13.2" x14ac:dyDescent="0.25">
      <c r="A54" s="510">
        <v>97662</v>
      </c>
      <c r="B54" s="514" t="s">
        <v>25</v>
      </c>
      <c r="C54" s="515" t="s">
        <v>17</v>
      </c>
      <c r="D54" s="516">
        <f>(9.3+9.3+3.3+3.3)*3</f>
        <v>75.600000000000009</v>
      </c>
      <c r="E54" s="517">
        <v>0.74</v>
      </c>
      <c r="F54" s="517"/>
      <c r="G54" s="521" t="s">
        <v>241</v>
      </c>
      <c r="H54" s="518">
        <f t="shared" si="10"/>
        <v>0.92130000000000012</v>
      </c>
      <c r="I54" s="533">
        <f t="shared" ref="I54:I55" si="13">D54*H54</f>
        <v>69.650280000000024</v>
      </c>
    </row>
    <row r="55" spans="1:9" ht="13.2" x14ac:dyDescent="0.25">
      <c r="A55" s="510">
        <v>99837</v>
      </c>
      <c r="B55" s="514" t="s">
        <v>26</v>
      </c>
      <c r="C55" s="515" t="s">
        <v>17</v>
      </c>
      <c r="D55" s="516">
        <f>(9.3+9.3+3.3+3.3)*3</f>
        <v>75.600000000000009</v>
      </c>
      <c r="E55" s="517">
        <v>689.76</v>
      </c>
      <c r="F55" s="517"/>
      <c r="G55" s="521" t="s">
        <v>241</v>
      </c>
      <c r="H55" s="518">
        <f t="shared" si="10"/>
        <v>858.75120000000004</v>
      </c>
      <c r="I55" s="533">
        <f t="shared" si="13"/>
        <v>64921.590720000007</v>
      </c>
    </row>
    <row r="56" spans="1:9" ht="13.2" x14ac:dyDescent="0.25">
      <c r="A56" s="510"/>
      <c r="B56" s="523" t="s">
        <v>121</v>
      </c>
      <c r="C56" s="524"/>
      <c r="D56" s="524"/>
      <c r="E56" s="524"/>
      <c r="F56" s="524"/>
      <c r="G56" s="524"/>
      <c r="H56" s="524"/>
      <c r="I56" s="525"/>
    </row>
    <row r="57" spans="1:9" ht="13.2" x14ac:dyDescent="0.25">
      <c r="A57" s="510">
        <v>88484</v>
      </c>
      <c r="B57" s="514" t="s">
        <v>115</v>
      </c>
      <c r="C57" s="515" t="s">
        <v>4</v>
      </c>
      <c r="D57" s="516">
        <f>(7.35+4.86)*3*2</f>
        <v>73.260000000000005</v>
      </c>
      <c r="E57" s="519">
        <v>3.76</v>
      </c>
      <c r="F57" s="520"/>
      <c r="G57" s="521" t="s">
        <v>241</v>
      </c>
      <c r="H57" s="518">
        <f t="shared" ref="H57:H62" si="14">E57*1.245</f>
        <v>4.6812000000000005</v>
      </c>
      <c r="I57" s="533">
        <f t="shared" ref="I57:I62" si="15">D57*H57</f>
        <v>342.94471200000004</v>
      </c>
    </row>
    <row r="58" spans="1:9" ht="13.2" x14ac:dyDescent="0.25">
      <c r="A58" s="510" t="s">
        <v>149</v>
      </c>
      <c r="B58" s="514" t="s">
        <v>54</v>
      </c>
      <c r="C58" s="515" t="s">
        <v>4</v>
      </c>
      <c r="D58" s="516">
        <f>(7.35+4.86)*3*2</f>
        <v>73.260000000000005</v>
      </c>
      <c r="E58" s="519">
        <f>25.72+16.27</f>
        <v>41.989999999999995</v>
      </c>
      <c r="F58" s="520"/>
      <c r="G58" s="521" t="s">
        <v>241</v>
      </c>
      <c r="H58" s="518">
        <f t="shared" si="14"/>
        <v>52.277549999999998</v>
      </c>
      <c r="I58" s="533">
        <f t="shared" si="15"/>
        <v>3829.8533130000001</v>
      </c>
    </row>
    <row r="59" spans="1:9" ht="13.2" x14ac:dyDescent="0.25">
      <c r="A59" s="510">
        <v>96369</v>
      </c>
      <c r="B59" s="514" t="s">
        <v>33</v>
      </c>
      <c r="C59" s="515" t="s">
        <v>4</v>
      </c>
      <c r="D59" s="516">
        <f>(4.68+3.28)*2.7</f>
        <v>21.491999999999997</v>
      </c>
      <c r="E59" s="526">
        <v>231.65</v>
      </c>
      <c r="F59" s="527"/>
      <c r="G59" s="521" t="s">
        <v>241</v>
      </c>
      <c r="H59" s="518">
        <f t="shared" si="14"/>
        <v>288.40425000000005</v>
      </c>
      <c r="I59" s="533">
        <f t="shared" si="15"/>
        <v>6198.3841410000005</v>
      </c>
    </row>
    <row r="60" spans="1:9" ht="13.2" x14ac:dyDescent="0.25">
      <c r="A60" s="510">
        <v>100675</v>
      </c>
      <c r="B60" s="514" t="s">
        <v>53</v>
      </c>
      <c r="C60" s="515" t="s">
        <v>0</v>
      </c>
      <c r="D60" s="516">
        <v>1</v>
      </c>
      <c r="E60" s="519">
        <v>894.35</v>
      </c>
      <c r="F60" s="520"/>
      <c r="G60" s="521" t="s">
        <v>241</v>
      </c>
      <c r="H60" s="518">
        <f t="shared" si="14"/>
        <v>1113.4657500000001</v>
      </c>
      <c r="I60" s="533">
        <f t="shared" si="15"/>
        <v>1113.4657500000001</v>
      </c>
    </row>
    <row r="61" spans="1:9" ht="13.2" x14ac:dyDescent="0.25">
      <c r="A61" s="566" t="s">
        <v>246</v>
      </c>
      <c r="B61" s="514" t="s">
        <v>52</v>
      </c>
      <c r="C61" s="515" t="s">
        <v>0</v>
      </c>
      <c r="D61" s="516">
        <v>1</v>
      </c>
      <c r="E61" s="517">
        <v>250</v>
      </c>
      <c r="F61" s="517"/>
      <c r="G61" s="521" t="s">
        <v>241</v>
      </c>
      <c r="H61" s="518">
        <f t="shared" si="14"/>
        <v>311.25</v>
      </c>
      <c r="I61" s="533">
        <f t="shared" si="15"/>
        <v>311.25</v>
      </c>
    </row>
    <row r="62" spans="1:9" ht="13.2" x14ac:dyDescent="0.25">
      <c r="A62" s="566" t="s">
        <v>246</v>
      </c>
      <c r="B62" s="514" t="s">
        <v>231</v>
      </c>
      <c r="C62" s="515" t="s">
        <v>0</v>
      </c>
      <c r="D62" s="516">
        <v>3</v>
      </c>
      <c r="E62" s="526">
        <f>57.09+65</f>
        <v>122.09</v>
      </c>
      <c r="F62" s="527"/>
      <c r="G62" s="521" t="s">
        <v>241</v>
      </c>
      <c r="H62" s="518">
        <f t="shared" si="14"/>
        <v>152.00205000000003</v>
      </c>
      <c r="I62" s="533">
        <f t="shared" si="15"/>
        <v>456.00615000000005</v>
      </c>
    </row>
    <row r="63" spans="1:9" ht="13.2" x14ac:dyDescent="0.25">
      <c r="A63" s="510"/>
      <c r="B63" s="511" t="s">
        <v>122</v>
      </c>
      <c r="C63" s="512"/>
      <c r="D63" s="512"/>
      <c r="E63" s="512"/>
      <c r="F63" s="512"/>
      <c r="G63" s="512"/>
      <c r="H63" s="512"/>
      <c r="I63" s="513"/>
    </row>
    <row r="64" spans="1:9" ht="13.2" x14ac:dyDescent="0.25">
      <c r="A64" s="566" t="s">
        <v>246</v>
      </c>
      <c r="B64" s="514" t="s">
        <v>133</v>
      </c>
      <c r="C64" s="515" t="s">
        <v>0</v>
      </c>
      <c r="D64" s="516">
        <v>1</v>
      </c>
      <c r="E64" s="517">
        <v>100</v>
      </c>
      <c r="F64" s="517"/>
      <c r="G64" s="521" t="s">
        <v>241</v>
      </c>
      <c r="H64" s="518">
        <f t="shared" ref="H64:H65" si="16">E64*1.245</f>
        <v>124.50000000000001</v>
      </c>
      <c r="I64" s="533">
        <f t="shared" ref="I64:I65" si="17">D64*H64</f>
        <v>124.50000000000001</v>
      </c>
    </row>
    <row r="65" spans="1:32" ht="13.2" x14ac:dyDescent="0.25">
      <c r="A65" s="510">
        <v>97637</v>
      </c>
      <c r="B65" s="514" t="s">
        <v>123</v>
      </c>
      <c r="C65" s="515" t="s">
        <v>4</v>
      </c>
      <c r="D65" s="516">
        <f>3.62*2.7</f>
        <v>9.7740000000000009</v>
      </c>
      <c r="E65" s="519">
        <v>3.08</v>
      </c>
      <c r="F65" s="520"/>
      <c r="G65" s="521" t="s">
        <v>241</v>
      </c>
      <c r="H65" s="518">
        <f t="shared" si="16"/>
        <v>3.8346000000000005</v>
      </c>
      <c r="I65" s="533">
        <f t="shared" si="17"/>
        <v>37.479380400000011</v>
      </c>
    </row>
    <row r="66" spans="1:32" ht="13.2" x14ac:dyDescent="0.25">
      <c r="A66" s="510">
        <f t="shared" ref="A66:F67" si="18">A70</f>
        <v>88484</v>
      </c>
      <c r="B66" s="553" t="s">
        <v>237</v>
      </c>
      <c r="C66" s="554" t="str">
        <f t="shared" si="18"/>
        <v>M²</v>
      </c>
      <c r="D66" s="555">
        <f t="shared" si="18"/>
        <v>49.788000000000004</v>
      </c>
      <c r="E66" s="557">
        <f t="shared" si="18"/>
        <v>3.76</v>
      </c>
      <c r="F66" s="557"/>
      <c r="G66" s="521" t="s">
        <v>241</v>
      </c>
      <c r="H66" s="518">
        <f t="shared" ref="H66:H67" si="19">E66*1.245</f>
        <v>4.6812000000000005</v>
      </c>
      <c r="I66" s="533">
        <f t="shared" ref="I66:I67" si="20">D66*H66</f>
        <v>233.06758560000003</v>
      </c>
    </row>
    <row r="67" spans="1:32" ht="13.2" x14ac:dyDescent="0.25">
      <c r="A67" s="510" t="str">
        <f t="shared" si="18"/>
        <v xml:space="preserve">88494/88489 </v>
      </c>
      <c r="B67" s="553" t="s">
        <v>238</v>
      </c>
      <c r="C67" s="554" t="str">
        <f t="shared" si="18"/>
        <v>M²</v>
      </c>
      <c r="D67" s="555">
        <f t="shared" si="18"/>
        <v>49.788000000000004</v>
      </c>
      <c r="E67" s="557">
        <f t="shared" si="18"/>
        <v>41.989999999999995</v>
      </c>
      <c r="F67" s="557"/>
      <c r="G67" s="521" t="s">
        <v>241</v>
      </c>
      <c r="H67" s="518">
        <f t="shared" si="19"/>
        <v>52.277549999999998</v>
      </c>
      <c r="I67" s="533">
        <f t="shared" si="20"/>
        <v>2602.7946594</v>
      </c>
    </row>
    <row r="68" spans="1:32" ht="13.2" x14ac:dyDescent="0.25">
      <c r="A68" s="510"/>
      <c r="B68" s="511" t="s">
        <v>126</v>
      </c>
      <c r="C68" s="512"/>
      <c r="D68" s="512"/>
      <c r="E68" s="512"/>
      <c r="F68" s="512"/>
      <c r="G68" s="512"/>
      <c r="H68" s="512"/>
      <c r="I68" s="513"/>
    </row>
    <row r="69" spans="1:32" ht="13.2" x14ac:dyDescent="0.25">
      <c r="A69" s="510">
        <v>101739</v>
      </c>
      <c r="B69" s="514" t="s">
        <v>134</v>
      </c>
      <c r="C69" s="515" t="s">
        <v>17</v>
      </c>
      <c r="D69" s="516">
        <v>18.440000000000001</v>
      </c>
      <c r="E69" s="519">
        <v>32.299999999999997</v>
      </c>
      <c r="F69" s="520"/>
      <c r="G69" s="521" t="s">
        <v>241</v>
      </c>
      <c r="H69" s="518">
        <f t="shared" ref="H69:H71" si="21">E69*1.245</f>
        <v>40.213500000000003</v>
      </c>
      <c r="I69" s="533">
        <f t="shared" ref="I69:I71" si="22">D69*H69</f>
        <v>741.53694000000007</v>
      </c>
    </row>
    <row r="70" spans="1:32" ht="13.2" x14ac:dyDescent="0.25">
      <c r="A70" s="510">
        <f>'6. FisicoFinanceiro R01'!A71</f>
        <v>88484</v>
      </c>
      <c r="B70" s="514" t="str">
        <f>'6. FisicoFinanceiro R01'!B71</f>
        <v>PRIMER IMPERMEABILIZANTE TRATAMENTO DE INFILTRAÇÃO DAS SALAS  205 E 206</v>
      </c>
      <c r="C70" s="515" t="s">
        <v>4</v>
      </c>
      <c r="D70" s="516">
        <f>18.44*2.7</f>
        <v>49.788000000000004</v>
      </c>
      <c r="E70" s="519">
        <v>3.76</v>
      </c>
      <c r="F70" s="520"/>
      <c r="G70" s="521" t="s">
        <v>241</v>
      </c>
      <c r="H70" s="518">
        <f t="shared" si="21"/>
        <v>4.6812000000000005</v>
      </c>
      <c r="I70" s="533">
        <f t="shared" si="22"/>
        <v>233.06758560000003</v>
      </c>
    </row>
    <row r="71" spans="1:32" ht="13.2" x14ac:dyDescent="0.25">
      <c r="A71" s="510" t="str">
        <f>'6. FisicoFinanceiro R01'!A72</f>
        <v xml:space="preserve">88494/88489 </v>
      </c>
      <c r="B71" s="514" t="str">
        <f>'6. FisicoFinanceiro R01'!B72</f>
        <v>RETOQUE DE PINTURA EM PAREDE (ÁREA REFERENTE 2 DEMÃOS) SALAS  205 E 206</v>
      </c>
      <c r="C71" s="515" t="s">
        <v>4</v>
      </c>
      <c r="D71" s="516">
        <f>18.44*2.7</f>
        <v>49.788000000000004</v>
      </c>
      <c r="E71" s="519">
        <f>25.72+16.27</f>
        <v>41.989999999999995</v>
      </c>
      <c r="F71" s="520"/>
      <c r="G71" s="521" t="s">
        <v>241</v>
      </c>
      <c r="H71" s="518">
        <f t="shared" si="21"/>
        <v>52.277549999999998</v>
      </c>
      <c r="I71" s="533">
        <f t="shared" si="22"/>
        <v>2602.7946594</v>
      </c>
      <c r="AF71">
        <v>3</v>
      </c>
    </row>
    <row r="72" spans="1:32" ht="13.2" x14ac:dyDescent="0.25">
      <c r="A72" s="510"/>
      <c r="B72" s="523" t="s">
        <v>127</v>
      </c>
      <c r="C72" s="524"/>
      <c r="D72" s="524"/>
      <c r="E72" s="524"/>
      <c r="F72" s="524"/>
      <c r="G72" s="524"/>
      <c r="H72" s="524"/>
      <c r="I72" s="525"/>
    </row>
    <row r="73" spans="1:32" ht="13.2" x14ac:dyDescent="0.25">
      <c r="A73" s="566" t="s">
        <v>246</v>
      </c>
      <c r="B73" s="514" t="s">
        <v>135</v>
      </c>
      <c r="C73" s="515" t="s">
        <v>4</v>
      </c>
      <c r="D73" s="516">
        <v>7</v>
      </c>
      <c r="E73" s="519">
        <f>3.18+12</f>
        <v>15.18</v>
      </c>
      <c r="F73" s="520"/>
      <c r="G73" s="521" t="s">
        <v>241</v>
      </c>
      <c r="H73" s="518">
        <f t="shared" ref="H73:H77" si="23">E73*1.245</f>
        <v>18.899100000000001</v>
      </c>
      <c r="I73" s="533">
        <f t="shared" ref="I73:I77" si="24">D73*H73</f>
        <v>132.2937</v>
      </c>
    </row>
    <row r="74" spans="1:32" ht="13.2" x14ac:dyDescent="0.25">
      <c r="A74" s="510">
        <f>'6. FisicoFinanceiro R01'!A75</f>
        <v>88484</v>
      </c>
      <c r="B74" s="514" t="str">
        <f>'6. FisicoFinanceiro R01'!B75</f>
        <v>PRIMER IMPERMEABILIZANTE TRATAMENTO DE INFILTRAÇÃO DAS SALAS 301 E 305</v>
      </c>
      <c r="C74" s="515" t="str">
        <f>'6. FisicoFinanceiro R01'!C75</f>
        <v>M²</v>
      </c>
      <c r="D74" s="516">
        <f>'6. FisicoFinanceiro R01'!D75</f>
        <v>49.788000000000004</v>
      </c>
      <c r="E74" s="519">
        <v>3.76</v>
      </c>
      <c r="F74" s="520"/>
      <c r="G74" s="521" t="s">
        <v>241</v>
      </c>
      <c r="H74" s="518">
        <f t="shared" si="23"/>
        <v>4.6812000000000005</v>
      </c>
      <c r="I74" s="533">
        <f t="shared" si="24"/>
        <v>233.06758560000003</v>
      </c>
    </row>
    <row r="75" spans="1:32" ht="13.2" x14ac:dyDescent="0.25">
      <c r="A75" s="510" t="str">
        <f>'6. FisicoFinanceiro R01'!A76</f>
        <v xml:space="preserve">88494/88489 </v>
      </c>
      <c r="B75" s="514" t="str">
        <f>'6. FisicoFinanceiro R01'!B76</f>
        <v>RETOQUE DE PINTURA EM PAREDE (ÁREA REFERENTE 2 DEMÃOS) SALAS  301 E 305</v>
      </c>
      <c r="C75" s="515" t="str">
        <f>'6. FisicoFinanceiro R01'!C76</f>
        <v>M²</v>
      </c>
      <c r="D75" s="516">
        <f>'6. FisicoFinanceiro R01'!D76</f>
        <v>49.788000000000004</v>
      </c>
      <c r="E75" s="519">
        <f>25.72+16.27</f>
        <v>41.989999999999995</v>
      </c>
      <c r="F75" s="520"/>
      <c r="G75" s="521" t="s">
        <v>241</v>
      </c>
      <c r="H75" s="518">
        <f t="shared" si="23"/>
        <v>52.277549999999998</v>
      </c>
      <c r="I75" s="533">
        <f t="shared" si="24"/>
        <v>2602.7946594</v>
      </c>
    </row>
    <row r="76" spans="1:32" ht="13.2" x14ac:dyDescent="0.25">
      <c r="A76" s="510">
        <v>98689</v>
      </c>
      <c r="B76" s="514" t="s">
        <v>50</v>
      </c>
      <c r="C76" s="515" t="s">
        <v>0</v>
      </c>
      <c r="D76" s="516">
        <v>1</v>
      </c>
      <c r="E76" s="526">
        <f>125.88+200</f>
        <v>325.88</v>
      </c>
      <c r="F76" s="527"/>
      <c r="G76" s="521" t="s">
        <v>241</v>
      </c>
      <c r="H76" s="518">
        <f t="shared" si="23"/>
        <v>405.72060000000005</v>
      </c>
      <c r="I76" s="533">
        <f t="shared" si="24"/>
        <v>405.72060000000005</v>
      </c>
    </row>
    <row r="77" spans="1:32" ht="13.2" x14ac:dyDescent="0.25">
      <c r="A77" s="510">
        <v>90446</v>
      </c>
      <c r="B77" s="514" t="s">
        <v>51</v>
      </c>
      <c r="C77" s="515" t="s">
        <v>0</v>
      </c>
      <c r="D77" s="516">
        <v>1</v>
      </c>
      <c r="E77" s="526">
        <f>59.09+35.6</f>
        <v>94.69</v>
      </c>
      <c r="F77" s="527"/>
      <c r="G77" s="521" t="s">
        <v>241</v>
      </c>
      <c r="H77" s="518">
        <f t="shared" si="23"/>
        <v>117.88905000000001</v>
      </c>
      <c r="I77" s="533">
        <f t="shared" si="24"/>
        <v>117.88905000000001</v>
      </c>
    </row>
    <row r="78" spans="1:32" ht="13.2" x14ac:dyDescent="0.25">
      <c r="A78" s="510"/>
      <c r="B78" s="523" t="s">
        <v>128</v>
      </c>
      <c r="C78" s="524"/>
      <c r="D78" s="524"/>
      <c r="E78" s="524"/>
      <c r="F78" s="524"/>
      <c r="G78" s="524"/>
      <c r="H78" s="524"/>
      <c r="I78" s="525"/>
    </row>
    <row r="79" spans="1:32" ht="13.2" x14ac:dyDescent="0.25">
      <c r="A79" s="510">
        <v>86882</v>
      </c>
      <c r="B79" s="522" t="s">
        <v>125</v>
      </c>
      <c r="C79" s="515" t="s">
        <v>0</v>
      </c>
      <c r="D79" s="516">
        <v>19</v>
      </c>
      <c r="E79" s="526">
        <v>20.59</v>
      </c>
      <c r="F79" s="527"/>
      <c r="G79" s="521" t="s">
        <v>241</v>
      </c>
      <c r="H79" s="518">
        <f t="shared" ref="H79:H94" si="25">E79*1.245</f>
        <v>25.634550000000001</v>
      </c>
      <c r="I79" s="533">
        <f t="shared" ref="I79:I82" si="26">D79*H79</f>
        <v>487.05645000000004</v>
      </c>
    </row>
    <row r="80" spans="1:32" ht="13.2" x14ac:dyDescent="0.25">
      <c r="A80" s="510">
        <v>89495</v>
      </c>
      <c r="B80" s="522" t="s">
        <v>124</v>
      </c>
      <c r="C80" s="515" t="s">
        <v>0</v>
      </c>
      <c r="D80" s="516">
        <v>15</v>
      </c>
      <c r="E80" s="519">
        <v>17.809999999999999</v>
      </c>
      <c r="F80" s="520"/>
      <c r="G80" s="521" t="s">
        <v>241</v>
      </c>
      <c r="H80" s="518">
        <f t="shared" si="25"/>
        <v>22.173449999999999</v>
      </c>
      <c r="I80" s="533">
        <f t="shared" si="26"/>
        <v>332.60174999999998</v>
      </c>
    </row>
    <row r="81" spans="1:9" ht="13.2" x14ac:dyDescent="0.25">
      <c r="A81" s="566" t="s">
        <v>246</v>
      </c>
      <c r="B81" s="522" t="s">
        <v>140</v>
      </c>
      <c r="C81" s="515" t="s">
        <v>0</v>
      </c>
      <c r="D81" s="516">
        <v>18</v>
      </c>
      <c r="E81" s="519">
        <v>300</v>
      </c>
      <c r="F81" s="520"/>
      <c r="G81" s="521" t="s">
        <v>241</v>
      </c>
      <c r="H81" s="518">
        <f t="shared" si="25"/>
        <v>373.50000000000006</v>
      </c>
      <c r="I81" s="533">
        <f t="shared" si="26"/>
        <v>6723.0000000000009</v>
      </c>
    </row>
    <row r="82" spans="1:9" ht="13.2" x14ac:dyDescent="0.25">
      <c r="A82" s="566" t="s">
        <v>246</v>
      </c>
      <c r="B82" s="514" t="s">
        <v>32</v>
      </c>
      <c r="C82" s="515" t="s">
        <v>0</v>
      </c>
      <c r="D82" s="516">
        <v>1</v>
      </c>
      <c r="E82" s="519">
        <v>300</v>
      </c>
      <c r="F82" s="520"/>
      <c r="G82" s="521" t="s">
        <v>241</v>
      </c>
      <c r="H82" s="518">
        <f t="shared" si="25"/>
        <v>373.50000000000006</v>
      </c>
      <c r="I82" s="533">
        <f t="shared" si="26"/>
        <v>373.50000000000006</v>
      </c>
    </row>
    <row r="83" spans="1:9" ht="13.2" x14ac:dyDescent="0.25">
      <c r="A83" s="510"/>
      <c r="B83" s="523" t="s">
        <v>129</v>
      </c>
      <c r="C83" s="524"/>
      <c r="D83" s="524"/>
      <c r="E83" s="524"/>
      <c r="F83" s="524"/>
      <c r="G83" s="524"/>
      <c r="H83" s="524"/>
      <c r="I83" s="525"/>
    </row>
    <row r="84" spans="1:9" ht="13.2" x14ac:dyDescent="0.25">
      <c r="A84" s="510" t="s">
        <v>248</v>
      </c>
      <c r="B84" s="514" t="s">
        <v>44</v>
      </c>
      <c r="C84" s="515" t="s">
        <v>4</v>
      </c>
      <c r="D84" s="516">
        <v>122.4</v>
      </c>
      <c r="E84" s="517">
        <f>1091.12*0.4</f>
        <v>436.44799999999998</v>
      </c>
      <c r="F84" s="517"/>
      <c r="G84" s="521" t="s">
        <v>241</v>
      </c>
      <c r="H84" s="518">
        <f t="shared" si="25"/>
        <v>543.37775999999997</v>
      </c>
      <c r="I84" s="533">
        <f t="shared" ref="I84:I85" si="27">D84*H84</f>
        <v>66509.437823999993</v>
      </c>
    </row>
    <row r="85" spans="1:9" ht="13.2" x14ac:dyDescent="0.25">
      <c r="A85" s="566" t="s">
        <v>246</v>
      </c>
      <c r="B85" s="522" t="s">
        <v>139</v>
      </c>
      <c r="C85" s="515" t="s">
        <v>0</v>
      </c>
      <c r="D85" s="516">
        <v>11</v>
      </c>
      <c r="E85" s="517">
        <f>34.99+30</f>
        <v>64.990000000000009</v>
      </c>
      <c r="F85" s="517"/>
      <c r="G85" s="521" t="s">
        <v>241</v>
      </c>
      <c r="H85" s="518">
        <f t="shared" si="25"/>
        <v>80.912550000000024</v>
      </c>
      <c r="I85" s="533">
        <f t="shared" si="27"/>
        <v>890.03805000000023</v>
      </c>
    </row>
    <row r="86" spans="1:9" ht="13.2" x14ac:dyDescent="0.25">
      <c r="A86" s="510"/>
      <c r="B86" s="523" t="s">
        <v>130</v>
      </c>
      <c r="C86" s="524"/>
      <c r="D86" s="524"/>
      <c r="E86" s="524"/>
      <c r="F86" s="524"/>
      <c r="G86" s="524"/>
      <c r="H86" s="524"/>
      <c r="I86" s="525"/>
    </row>
    <row r="87" spans="1:9" ht="13.2" x14ac:dyDescent="0.25">
      <c r="A87" s="510">
        <v>100699</v>
      </c>
      <c r="B87" s="514" t="s">
        <v>22</v>
      </c>
      <c r="C87" s="515" t="s">
        <v>0</v>
      </c>
      <c r="D87" s="516">
        <v>61</v>
      </c>
      <c r="E87" s="519">
        <v>106.63</v>
      </c>
      <c r="F87" s="520"/>
      <c r="G87" s="521" t="s">
        <v>241</v>
      </c>
      <c r="H87" s="518">
        <f t="shared" si="25"/>
        <v>132.75435000000002</v>
      </c>
      <c r="I87" s="533">
        <f t="shared" ref="I87:I89" si="28">D87*H87</f>
        <v>8098.0153500000006</v>
      </c>
    </row>
    <row r="88" spans="1:9" ht="13.2" x14ac:dyDescent="0.25">
      <c r="A88" s="510">
        <v>100675</v>
      </c>
      <c r="B88" s="514" t="s">
        <v>228</v>
      </c>
      <c r="C88" s="515" t="s">
        <v>0</v>
      </c>
      <c r="D88" s="516">
        <v>1</v>
      </c>
      <c r="E88" s="519">
        <v>894.35</v>
      </c>
      <c r="F88" s="520"/>
      <c r="G88" s="521" t="s">
        <v>241</v>
      </c>
      <c r="H88" s="518">
        <f t="shared" si="25"/>
        <v>1113.4657500000001</v>
      </c>
      <c r="I88" s="533">
        <f t="shared" si="28"/>
        <v>1113.4657500000001</v>
      </c>
    </row>
    <row r="89" spans="1:9" ht="13.2" x14ac:dyDescent="0.25">
      <c r="A89" s="510">
        <v>91306</v>
      </c>
      <c r="B89" s="522" t="s">
        <v>244</v>
      </c>
      <c r="C89" s="515" t="s">
        <v>0</v>
      </c>
      <c r="D89" s="516">
        <f>1+7+14+16+12+12</f>
        <v>62</v>
      </c>
      <c r="E89" s="519">
        <v>162.1</v>
      </c>
      <c r="F89" s="520"/>
      <c r="G89" s="521" t="s">
        <v>241</v>
      </c>
      <c r="H89" s="518">
        <f t="shared" si="25"/>
        <v>201.81450000000001</v>
      </c>
      <c r="I89" s="533">
        <f t="shared" si="28"/>
        <v>12512.499</v>
      </c>
    </row>
    <row r="90" spans="1:9" ht="13.2" x14ac:dyDescent="0.25">
      <c r="A90" s="510"/>
      <c r="B90" s="523" t="s">
        <v>131</v>
      </c>
      <c r="C90" s="524"/>
      <c r="D90" s="524"/>
      <c r="E90" s="524"/>
      <c r="F90" s="524"/>
      <c r="G90" s="524"/>
      <c r="H90" s="524"/>
      <c r="I90" s="525"/>
    </row>
    <row r="91" spans="1:9" s="243" customFormat="1" ht="13.2" x14ac:dyDescent="0.25">
      <c r="A91" s="510" t="s">
        <v>150</v>
      </c>
      <c r="B91" s="522" t="s">
        <v>138</v>
      </c>
      <c r="C91" s="515" t="s">
        <v>4</v>
      </c>
      <c r="D91" s="516">
        <v>252.42</v>
      </c>
      <c r="E91" s="519">
        <f>50.91+3.81</f>
        <v>54.72</v>
      </c>
      <c r="F91" s="520"/>
      <c r="G91" s="521" t="s">
        <v>241</v>
      </c>
      <c r="H91" s="518">
        <f t="shared" si="25"/>
        <v>68.126400000000004</v>
      </c>
      <c r="I91" s="533">
        <f>D91*H91</f>
        <v>17196.465887999999</v>
      </c>
    </row>
    <row r="92" spans="1:9" ht="13.2" x14ac:dyDescent="0.25">
      <c r="A92" s="510">
        <v>98556</v>
      </c>
      <c r="B92" s="514" t="s">
        <v>137</v>
      </c>
      <c r="C92" s="515" t="s">
        <v>4</v>
      </c>
      <c r="D92" s="516">
        <f>252.42+16.12+((77.47+18.17)*0.3)</f>
        <v>297.23199999999997</v>
      </c>
      <c r="E92" s="519">
        <v>55.07</v>
      </c>
      <c r="F92" s="520"/>
      <c r="G92" s="521" t="s">
        <v>241</v>
      </c>
      <c r="H92" s="518">
        <f t="shared" si="25"/>
        <v>68.562150000000003</v>
      </c>
      <c r="I92" s="533">
        <f t="shared" ref="I92:I93" si="29">D92*H92</f>
        <v>20378.8649688</v>
      </c>
    </row>
    <row r="93" spans="1:9" ht="13.2" x14ac:dyDescent="0.25">
      <c r="A93" s="510">
        <v>98553</v>
      </c>
      <c r="B93" s="514" t="s">
        <v>136</v>
      </c>
      <c r="C93" s="515" t="s">
        <v>4</v>
      </c>
      <c r="D93" s="516">
        <v>322</v>
      </c>
      <c r="E93" s="519">
        <v>130.77000000000001</v>
      </c>
      <c r="F93" s="520"/>
      <c r="G93" s="521" t="s">
        <v>241</v>
      </c>
      <c r="H93" s="518">
        <f t="shared" si="25"/>
        <v>162.80865000000003</v>
      </c>
      <c r="I93" s="533">
        <f t="shared" si="29"/>
        <v>52424.385300000009</v>
      </c>
    </row>
    <row r="94" spans="1:9" ht="13.8" thickBot="1" x14ac:dyDescent="0.3">
      <c r="A94" s="510">
        <v>98563</v>
      </c>
      <c r="B94" s="529" t="s">
        <v>148</v>
      </c>
      <c r="C94" s="515" t="s">
        <v>4</v>
      </c>
      <c r="D94" s="516">
        <f>252.42+16.12</f>
        <v>268.53999999999996</v>
      </c>
      <c r="E94" s="540">
        <v>36.19</v>
      </c>
      <c r="F94" s="541"/>
      <c r="G94" s="521" t="s">
        <v>241</v>
      </c>
      <c r="H94" s="518">
        <f t="shared" si="25"/>
        <v>45.056550000000001</v>
      </c>
      <c r="I94" s="533">
        <f>D94*H94</f>
        <v>12099.485936999999</v>
      </c>
    </row>
    <row r="95" spans="1:9" ht="13.8" thickBot="1" x14ac:dyDescent="0.3">
      <c r="A95" s="510"/>
      <c r="B95" s="530" t="s">
        <v>145</v>
      </c>
      <c r="C95" s="531"/>
      <c r="D95" s="531"/>
      <c r="E95" s="531"/>
      <c r="F95" s="531"/>
      <c r="G95" s="539">
        <v>0.245</v>
      </c>
      <c r="H95" s="532"/>
      <c r="I95" s="532">
        <f>I7+I8+I9+I10+I12+I13+I15+I16+I18+I19+I22+I23+I24+I27+I29+I31+I32+I34+I35+I36+I37+I38+I39+I40+I42+I43+I44+I45+I48+I49+I50+I51+I52+I54+I55+I58+I57+I59+I60+I61+I64+I65+I69+I70+I71+I73+I74+I75+I76+I77+I79+I80+I81+I82+I84+I85+I87+I89+I91+I92+I93+I94+I88+I62+I66+I67+0.06+I46</f>
        <v>510364.39138192497</v>
      </c>
    </row>
    <row r="96" spans="1:9" ht="13.2" x14ac:dyDescent="0.25">
      <c r="C96" s="106"/>
      <c r="D96" s="107"/>
    </row>
    <row r="97" spans="1:4" ht="13.2" x14ac:dyDescent="0.25"/>
    <row r="98" spans="1:4" ht="13.2" x14ac:dyDescent="0.25"/>
    <row r="99" spans="1:4" ht="13.2" x14ac:dyDescent="0.25">
      <c r="C99" s="106"/>
      <c r="D99" s="107"/>
    </row>
    <row r="100" spans="1:4" ht="13.2" x14ac:dyDescent="0.25">
      <c r="C100" s="106"/>
      <c r="D100" s="107"/>
    </row>
    <row r="101" spans="1:4" ht="13.2" x14ac:dyDescent="0.25">
      <c r="C101" s="106"/>
      <c r="D101" s="107"/>
    </row>
    <row r="102" spans="1:4" ht="13.2" x14ac:dyDescent="0.25">
      <c r="C102" s="106"/>
      <c r="D102" s="107"/>
    </row>
    <row r="103" spans="1:4" ht="13.2" x14ac:dyDescent="0.25">
      <c r="C103" s="106"/>
      <c r="D103" s="107"/>
    </row>
    <row r="104" spans="1:4" ht="13.2" x14ac:dyDescent="0.25">
      <c r="C104" s="106"/>
      <c r="D104" s="107"/>
    </row>
    <row r="105" spans="1:4" ht="13.2" x14ac:dyDescent="0.25">
      <c r="C105" s="106"/>
      <c r="D105" s="107"/>
    </row>
    <row r="106" spans="1:4" ht="13.2" x14ac:dyDescent="0.25"/>
    <row r="107" spans="1:4" s="7" customFormat="1" ht="11.4" x14ac:dyDescent="0.2">
      <c r="A107" s="283"/>
      <c r="C107" s="106"/>
      <c r="D107" s="107"/>
    </row>
    <row r="108" spans="1:4" s="7" customFormat="1" ht="11.4" x14ac:dyDescent="0.2">
      <c r="A108" s="283"/>
    </row>
    <row r="109" spans="1:4" s="7" customFormat="1" ht="11.4" x14ac:dyDescent="0.2">
      <c r="A109" s="283"/>
    </row>
    <row r="110" spans="1:4" s="7" customFormat="1" ht="11.4" x14ac:dyDescent="0.2">
      <c r="A110" s="283"/>
    </row>
    <row r="111" spans="1:4" s="7" customFormat="1" ht="11.4" x14ac:dyDescent="0.2">
      <c r="A111" s="283"/>
    </row>
    <row r="112" spans="1:4" s="7" customFormat="1" ht="11.4" x14ac:dyDescent="0.2">
      <c r="A112" s="283"/>
      <c r="C112" s="106"/>
      <c r="D112" s="107"/>
    </row>
    <row r="113" spans="1:4" s="7" customFormat="1" ht="11.4" x14ac:dyDescent="0.2">
      <c r="A113" s="283"/>
    </row>
    <row r="114" spans="1:4" s="7" customFormat="1" ht="11.4" x14ac:dyDescent="0.2">
      <c r="A114" s="283"/>
      <c r="C114" s="106"/>
      <c r="D114" s="107"/>
    </row>
    <row r="115" spans="1:4" s="7" customFormat="1" ht="11.4" x14ac:dyDescent="0.2">
      <c r="A115" s="283"/>
    </row>
    <row r="116" spans="1:4" s="7" customFormat="1" ht="11.4" x14ac:dyDescent="0.2">
      <c r="A116" s="283"/>
    </row>
    <row r="117" spans="1:4" s="7" customFormat="1" ht="11.4" x14ac:dyDescent="0.2">
      <c r="A117" s="283"/>
    </row>
    <row r="118" spans="1:4" s="7" customFormat="1" ht="11.4" x14ac:dyDescent="0.2">
      <c r="A118" s="283"/>
    </row>
    <row r="119" spans="1:4" s="7" customFormat="1" ht="11.4" x14ac:dyDescent="0.2">
      <c r="A119" s="283"/>
    </row>
    <row r="120" spans="1:4" s="7" customFormat="1" ht="11.4" x14ac:dyDescent="0.2">
      <c r="A120" s="283"/>
      <c r="C120" s="106"/>
      <c r="D120" s="107"/>
    </row>
    <row r="121" spans="1:4" s="7" customFormat="1" ht="11.4" x14ac:dyDescent="0.2">
      <c r="A121" s="283"/>
    </row>
    <row r="122" spans="1:4" s="7" customFormat="1" ht="11.4" x14ac:dyDescent="0.2">
      <c r="A122" s="283"/>
      <c r="C122" s="106"/>
      <c r="D122" s="107"/>
    </row>
    <row r="123" spans="1:4" s="7" customFormat="1" ht="11.4" x14ac:dyDescent="0.2">
      <c r="A123" s="283"/>
    </row>
    <row r="124" spans="1:4" s="7" customFormat="1" ht="11.4" x14ac:dyDescent="0.2">
      <c r="A124" s="283"/>
    </row>
    <row r="125" spans="1:4" s="7" customFormat="1" ht="11.4" x14ac:dyDescent="0.2">
      <c r="A125" s="283"/>
    </row>
    <row r="126" spans="1:4" s="7" customFormat="1" ht="11.4" x14ac:dyDescent="0.2">
      <c r="A126" s="283"/>
    </row>
    <row r="127" spans="1:4" s="7" customFormat="1" ht="11.4" x14ac:dyDescent="0.2">
      <c r="A127" s="283"/>
    </row>
    <row r="128" spans="1:4" s="7" customFormat="1" ht="11.4" x14ac:dyDescent="0.2">
      <c r="A128" s="283"/>
    </row>
    <row r="129" spans="1:4" s="7" customFormat="1" ht="11.4" x14ac:dyDescent="0.2">
      <c r="A129" s="283"/>
    </row>
    <row r="130" spans="1:4" s="7" customFormat="1" ht="11.4" x14ac:dyDescent="0.2">
      <c r="A130" s="283"/>
      <c r="C130" s="106"/>
      <c r="D130" s="107"/>
    </row>
    <row r="131" spans="1:4" s="7" customFormat="1" ht="11.4" x14ac:dyDescent="0.2">
      <c r="A131" s="283"/>
      <c r="C131" s="106"/>
      <c r="D131" s="107"/>
    </row>
    <row r="132" spans="1:4" s="7" customFormat="1" ht="11.4" x14ac:dyDescent="0.2">
      <c r="A132" s="283"/>
      <c r="C132" s="106"/>
      <c r="D132" s="107"/>
    </row>
    <row r="133" spans="1:4" s="7" customFormat="1" ht="11.4" x14ac:dyDescent="0.2">
      <c r="A133" s="283"/>
      <c r="C133" s="106"/>
      <c r="D133" s="107"/>
    </row>
    <row r="134" spans="1:4" s="7" customFormat="1" ht="11.4" x14ac:dyDescent="0.2">
      <c r="A134" s="283"/>
      <c r="C134" s="106"/>
      <c r="D134" s="107"/>
    </row>
    <row r="135" spans="1:4" s="7" customFormat="1" ht="11.4" x14ac:dyDescent="0.2">
      <c r="A135" s="283"/>
      <c r="C135" s="106"/>
      <c r="D135" s="107"/>
    </row>
    <row r="136" spans="1:4" s="7" customFormat="1" ht="11.4" x14ac:dyDescent="0.2">
      <c r="A136" s="283"/>
      <c r="C136" s="106"/>
      <c r="D136" s="107"/>
    </row>
    <row r="137" spans="1:4" s="7" customFormat="1" ht="11.4" x14ac:dyDescent="0.2">
      <c r="A137" s="283"/>
      <c r="C137" s="106"/>
      <c r="D137" s="107"/>
    </row>
    <row r="138" spans="1:4" s="7" customFormat="1" ht="11.4" x14ac:dyDescent="0.2">
      <c r="A138" s="283"/>
      <c r="C138" s="106"/>
      <c r="D138" s="107"/>
    </row>
    <row r="139" spans="1:4" s="7" customFormat="1" ht="11.4" x14ac:dyDescent="0.2">
      <c r="A139" s="283"/>
      <c r="C139" s="106"/>
      <c r="D139" s="107"/>
    </row>
    <row r="140" spans="1:4" s="7" customFormat="1" ht="11.4" x14ac:dyDescent="0.2">
      <c r="A140" s="283"/>
      <c r="C140" s="106"/>
      <c r="D140" s="107"/>
    </row>
    <row r="141" spans="1:4" s="7" customFormat="1" ht="11.4" x14ac:dyDescent="0.2">
      <c r="A141" s="283"/>
      <c r="C141" s="106"/>
      <c r="D141" s="107"/>
    </row>
    <row r="142" spans="1:4" s="7" customFormat="1" ht="11.4" x14ac:dyDescent="0.2">
      <c r="A142" s="283"/>
      <c r="C142" s="106"/>
      <c r="D142" s="107"/>
    </row>
    <row r="143" spans="1:4" s="7" customFormat="1" ht="11.4" x14ac:dyDescent="0.2">
      <c r="A143" s="283"/>
      <c r="C143" s="106"/>
      <c r="D143" s="107"/>
    </row>
    <row r="144" spans="1:4" s="7" customFormat="1" ht="11.4" x14ac:dyDescent="0.2">
      <c r="A144" s="283"/>
      <c r="C144" s="106"/>
      <c r="D144" s="107"/>
    </row>
    <row r="145" spans="1:4" s="7" customFormat="1" ht="11.4" x14ac:dyDescent="0.2">
      <c r="A145" s="283"/>
      <c r="C145" s="106"/>
      <c r="D145" s="107"/>
    </row>
    <row r="146" spans="1:4" s="7" customFormat="1" ht="11.4" x14ac:dyDescent="0.2">
      <c r="A146" s="283"/>
      <c r="C146" s="106"/>
      <c r="D146" s="107"/>
    </row>
    <row r="147" spans="1:4" s="7" customFormat="1" ht="11.4" x14ac:dyDescent="0.2">
      <c r="A147" s="283"/>
      <c r="C147" s="106"/>
      <c r="D147" s="107"/>
    </row>
    <row r="148" spans="1:4" s="7" customFormat="1" ht="11.4" x14ac:dyDescent="0.2">
      <c r="A148" s="283"/>
      <c r="C148" s="106"/>
      <c r="D148" s="107"/>
    </row>
    <row r="149" spans="1:4" s="7" customFormat="1" ht="11.4" x14ac:dyDescent="0.2">
      <c r="A149" s="283"/>
      <c r="C149" s="106"/>
      <c r="D149" s="107"/>
    </row>
    <row r="150" spans="1:4" s="7" customFormat="1" ht="11.4" x14ac:dyDescent="0.2">
      <c r="A150" s="283"/>
      <c r="C150" s="106"/>
      <c r="D150" s="107"/>
    </row>
    <row r="151" spans="1:4" s="7" customFormat="1" ht="11.4" x14ac:dyDescent="0.2">
      <c r="A151" s="283"/>
      <c r="C151" s="106"/>
      <c r="D151" s="107"/>
    </row>
    <row r="152" spans="1:4" s="7" customFormat="1" ht="11.4" x14ac:dyDescent="0.2">
      <c r="A152" s="283"/>
      <c r="C152" s="106"/>
      <c r="D152" s="107"/>
    </row>
    <row r="153" spans="1:4" s="7" customFormat="1" ht="11.4" x14ac:dyDescent="0.2">
      <c r="A153" s="283"/>
      <c r="C153" s="106"/>
      <c r="D153" s="107"/>
    </row>
    <row r="154" spans="1:4" s="7" customFormat="1" ht="11.4" x14ac:dyDescent="0.2">
      <c r="A154" s="283"/>
      <c r="C154" s="106"/>
      <c r="D154" s="107"/>
    </row>
    <row r="155" spans="1:4" s="7" customFormat="1" ht="11.4" x14ac:dyDescent="0.2">
      <c r="A155" s="283"/>
      <c r="C155" s="106"/>
      <c r="D155" s="107"/>
    </row>
    <row r="156" spans="1:4" s="7" customFormat="1" ht="11.4" x14ac:dyDescent="0.2">
      <c r="A156" s="283"/>
      <c r="C156" s="106"/>
      <c r="D156" s="107"/>
    </row>
    <row r="157" spans="1:4" s="7" customFormat="1" ht="11.4" x14ac:dyDescent="0.2">
      <c r="A157" s="283"/>
      <c r="C157" s="106"/>
      <c r="D157" s="107"/>
    </row>
    <row r="158" spans="1:4" s="7" customFormat="1" ht="11.4" x14ac:dyDescent="0.2">
      <c r="A158" s="283"/>
      <c r="C158" s="106"/>
      <c r="D158" s="107"/>
    </row>
    <row r="159" spans="1:4" s="7" customFormat="1" ht="11.4" x14ac:dyDescent="0.2">
      <c r="A159" s="283"/>
      <c r="C159" s="106"/>
      <c r="D159" s="107"/>
    </row>
    <row r="160" spans="1:4" s="7" customFormat="1" ht="11.4" x14ac:dyDescent="0.2">
      <c r="A160" s="283"/>
      <c r="C160" s="106"/>
      <c r="D160" s="107"/>
    </row>
    <row r="161" spans="1:4" s="7" customFormat="1" ht="11.4" x14ac:dyDescent="0.2">
      <c r="A161" s="283"/>
      <c r="C161" s="106"/>
      <c r="D161" s="107"/>
    </row>
    <row r="162" spans="1:4" s="7" customFormat="1" ht="11.4" x14ac:dyDescent="0.2">
      <c r="A162" s="283"/>
      <c r="C162" s="106"/>
      <c r="D162" s="107"/>
    </row>
    <row r="163" spans="1:4" s="7" customFormat="1" ht="11.4" x14ac:dyDescent="0.2">
      <c r="A163" s="283"/>
      <c r="C163" s="106"/>
      <c r="D163" s="107"/>
    </row>
    <row r="164" spans="1:4" s="7" customFormat="1" ht="11.4" x14ac:dyDescent="0.2">
      <c r="A164" s="283"/>
      <c r="C164" s="106"/>
      <c r="D164" s="107"/>
    </row>
    <row r="165" spans="1:4" s="7" customFormat="1" ht="11.4" x14ac:dyDescent="0.2">
      <c r="A165" s="283"/>
      <c r="C165" s="106"/>
      <c r="D165" s="107"/>
    </row>
    <row r="166" spans="1:4" s="7" customFormat="1" ht="11.4" x14ac:dyDescent="0.2">
      <c r="A166" s="283"/>
      <c r="C166" s="106"/>
      <c r="D166" s="107"/>
    </row>
    <row r="167" spans="1:4" s="7" customFormat="1" ht="11.4" x14ac:dyDescent="0.2">
      <c r="A167" s="283"/>
      <c r="C167" s="106"/>
      <c r="D167" s="107"/>
    </row>
    <row r="168" spans="1:4" s="7" customFormat="1" ht="11.4" x14ac:dyDescent="0.2">
      <c r="A168" s="283"/>
      <c r="C168" s="106"/>
      <c r="D168" s="107"/>
    </row>
    <row r="169" spans="1:4" s="7" customFormat="1" ht="11.4" x14ac:dyDescent="0.2">
      <c r="A169" s="283"/>
      <c r="C169" s="106"/>
      <c r="D169" s="107"/>
    </row>
    <row r="170" spans="1:4" s="7" customFormat="1" ht="11.4" x14ac:dyDescent="0.2">
      <c r="A170" s="283"/>
      <c r="C170" s="106"/>
      <c r="D170" s="107"/>
    </row>
    <row r="171" spans="1:4" s="7" customFormat="1" ht="11.4" x14ac:dyDescent="0.2">
      <c r="A171" s="283"/>
      <c r="C171" s="106"/>
      <c r="D171" s="107"/>
    </row>
    <row r="172" spans="1:4" s="7" customFormat="1" ht="11.4" x14ac:dyDescent="0.2">
      <c r="A172" s="283"/>
      <c r="C172" s="106"/>
      <c r="D172" s="107"/>
    </row>
    <row r="173" spans="1:4" s="7" customFormat="1" ht="11.4" x14ac:dyDescent="0.2">
      <c r="A173" s="283"/>
      <c r="C173" s="106"/>
      <c r="D173" s="107"/>
    </row>
    <row r="174" spans="1:4" s="7" customFormat="1" ht="11.4" x14ac:dyDescent="0.2">
      <c r="A174" s="283"/>
      <c r="C174" s="106"/>
      <c r="D174" s="107"/>
    </row>
    <row r="175" spans="1:4" s="7" customFormat="1" ht="11.4" x14ac:dyDescent="0.2">
      <c r="A175" s="283"/>
      <c r="C175" s="106"/>
      <c r="D175" s="107"/>
    </row>
    <row r="176" spans="1:4" s="7" customFormat="1" ht="11.4" x14ac:dyDescent="0.2">
      <c r="A176" s="283"/>
      <c r="C176" s="106"/>
      <c r="D176" s="107"/>
    </row>
    <row r="177" spans="1:4" s="7" customFormat="1" ht="11.4" x14ac:dyDescent="0.2">
      <c r="A177" s="283"/>
      <c r="C177" s="106"/>
      <c r="D177" s="107"/>
    </row>
    <row r="178" spans="1:4" s="7" customFormat="1" ht="11.4" x14ac:dyDescent="0.2">
      <c r="A178" s="283"/>
      <c r="C178" s="106"/>
      <c r="D178" s="107"/>
    </row>
    <row r="179" spans="1:4" s="7" customFormat="1" ht="11.4" x14ac:dyDescent="0.2">
      <c r="A179" s="283"/>
      <c r="C179" s="106"/>
      <c r="D179" s="107"/>
    </row>
    <row r="180" spans="1:4" s="7" customFormat="1" ht="11.4" x14ac:dyDescent="0.2">
      <c r="A180" s="283"/>
      <c r="C180" s="106"/>
      <c r="D180" s="107"/>
    </row>
    <row r="181" spans="1:4" s="7" customFormat="1" ht="11.4" x14ac:dyDescent="0.2">
      <c r="A181" s="283"/>
      <c r="C181" s="106"/>
      <c r="D181" s="107"/>
    </row>
    <row r="182" spans="1:4" s="7" customFormat="1" ht="11.4" x14ac:dyDescent="0.2">
      <c r="A182" s="283"/>
      <c r="C182" s="106"/>
      <c r="D182" s="107"/>
    </row>
    <row r="183" spans="1:4" s="7" customFormat="1" ht="11.4" x14ac:dyDescent="0.2">
      <c r="A183" s="283"/>
      <c r="C183" s="106"/>
      <c r="D183" s="107"/>
    </row>
    <row r="184" spans="1:4" s="7" customFormat="1" ht="11.4" x14ac:dyDescent="0.2">
      <c r="A184" s="283"/>
      <c r="C184" s="106"/>
      <c r="D184" s="107"/>
    </row>
    <row r="185" spans="1:4" s="7" customFormat="1" ht="11.4" x14ac:dyDescent="0.2">
      <c r="A185" s="283"/>
      <c r="C185" s="106"/>
      <c r="D185" s="107"/>
    </row>
    <row r="186" spans="1:4" s="7" customFormat="1" ht="11.4" x14ac:dyDescent="0.2">
      <c r="A186" s="283"/>
      <c r="C186" s="106"/>
      <c r="D186" s="107"/>
    </row>
    <row r="187" spans="1:4" s="7" customFormat="1" ht="11.4" x14ac:dyDescent="0.2">
      <c r="A187" s="283"/>
      <c r="C187" s="106"/>
      <c r="D187" s="107"/>
    </row>
    <row r="188" spans="1:4" s="7" customFormat="1" ht="11.4" x14ac:dyDescent="0.2">
      <c r="A188" s="283"/>
      <c r="C188" s="106"/>
      <c r="D188" s="107"/>
    </row>
    <row r="189" spans="1:4" s="7" customFormat="1" ht="11.4" x14ac:dyDescent="0.2">
      <c r="A189" s="283"/>
      <c r="C189" s="106"/>
      <c r="D189" s="107"/>
    </row>
    <row r="190" spans="1:4" s="7" customFormat="1" ht="11.4" x14ac:dyDescent="0.2">
      <c r="A190" s="283"/>
      <c r="C190" s="106"/>
      <c r="D190" s="107"/>
    </row>
    <row r="191" spans="1:4" s="7" customFormat="1" ht="11.4" x14ac:dyDescent="0.2">
      <c r="A191" s="283"/>
      <c r="C191" s="106"/>
      <c r="D191" s="107"/>
    </row>
    <row r="192" spans="1:4" s="7" customFormat="1" ht="11.4" x14ac:dyDescent="0.2">
      <c r="A192" s="283"/>
      <c r="C192" s="106"/>
      <c r="D192" s="107"/>
    </row>
    <row r="193" spans="1:4" s="7" customFormat="1" ht="11.4" x14ac:dyDescent="0.2">
      <c r="A193" s="283"/>
      <c r="C193" s="106"/>
      <c r="D193" s="107"/>
    </row>
    <row r="194" spans="1:4" s="7" customFormat="1" ht="11.4" x14ac:dyDescent="0.2">
      <c r="A194" s="283"/>
      <c r="C194" s="106"/>
      <c r="D194" s="107"/>
    </row>
    <row r="195" spans="1:4" s="7" customFormat="1" ht="11.4" x14ac:dyDescent="0.2">
      <c r="A195" s="283"/>
      <c r="C195" s="106"/>
      <c r="D195" s="107"/>
    </row>
    <row r="196" spans="1:4" s="7" customFormat="1" ht="11.4" x14ac:dyDescent="0.2">
      <c r="A196" s="283"/>
      <c r="C196" s="106"/>
      <c r="D196" s="107"/>
    </row>
    <row r="197" spans="1:4" s="7" customFormat="1" ht="11.4" x14ac:dyDescent="0.2">
      <c r="A197" s="283"/>
      <c r="C197" s="106"/>
      <c r="D197" s="107"/>
    </row>
    <row r="198" spans="1:4" s="7" customFormat="1" ht="11.4" x14ac:dyDescent="0.2">
      <c r="A198" s="283"/>
      <c r="C198" s="106"/>
      <c r="D198" s="107"/>
    </row>
    <row r="199" spans="1:4" s="7" customFormat="1" ht="11.4" x14ac:dyDescent="0.2">
      <c r="A199" s="283"/>
      <c r="C199" s="106"/>
      <c r="D199" s="107"/>
    </row>
    <row r="200" spans="1:4" s="7" customFormat="1" ht="11.4" x14ac:dyDescent="0.2">
      <c r="A200" s="283"/>
      <c r="C200" s="106"/>
      <c r="D200" s="107"/>
    </row>
    <row r="201" spans="1:4" s="7" customFormat="1" ht="11.4" x14ac:dyDescent="0.2">
      <c r="A201" s="283"/>
      <c r="C201" s="106"/>
      <c r="D201" s="107"/>
    </row>
    <row r="202" spans="1:4" s="7" customFormat="1" ht="11.4" x14ac:dyDescent="0.2">
      <c r="A202" s="283"/>
      <c r="C202" s="106"/>
      <c r="D202" s="107"/>
    </row>
    <row r="203" spans="1:4" s="7" customFormat="1" ht="11.4" x14ac:dyDescent="0.2">
      <c r="A203" s="283"/>
      <c r="C203" s="106"/>
      <c r="D203" s="107"/>
    </row>
    <row r="204" spans="1:4" s="7" customFormat="1" ht="11.4" x14ac:dyDescent="0.2">
      <c r="A204" s="283"/>
      <c r="C204" s="106"/>
      <c r="D204" s="107"/>
    </row>
    <row r="205" spans="1:4" s="7" customFormat="1" ht="11.4" x14ac:dyDescent="0.2">
      <c r="A205" s="283"/>
      <c r="C205" s="106"/>
      <c r="D205" s="107"/>
    </row>
    <row r="206" spans="1:4" s="7" customFormat="1" ht="11.4" x14ac:dyDescent="0.2">
      <c r="A206" s="283"/>
      <c r="C206" s="106"/>
      <c r="D206" s="107"/>
    </row>
    <row r="207" spans="1:4" s="7" customFormat="1" ht="11.4" x14ac:dyDescent="0.2">
      <c r="A207" s="283"/>
      <c r="C207" s="106"/>
      <c r="D207" s="107"/>
    </row>
    <row r="208" spans="1:4" s="7" customFormat="1" ht="11.4" x14ac:dyDescent="0.2">
      <c r="A208" s="283"/>
      <c r="C208" s="106"/>
      <c r="D208" s="107"/>
    </row>
    <row r="209" spans="1:4" s="7" customFormat="1" ht="11.4" x14ac:dyDescent="0.2">
      <c r="A209" s="283"/>
      <c r="C209" s="106"/>
      <c r="D209" s="107"/>
    </row>
    <row r="210" spans="1:4" s="7" customFormat="1" ht="11.4" x14ac:dyDescent="0.2">
      <c r="A210" s="283"/>
      <c r="C210" s="106"/>
      <c r="D210" s="107"/>
    </row>
    <row r="211" spans="1:4" s="7" customFormat="1" ht="11.4" x14ac:dyDescent="0.2">
      <c r="A211" s="283"/>
      <c r="C211" s="106"/>
      <c r="D211" s="107"/>
    </row>
    <row r="212" spans="1:4" s="7" customFormat="1" ht="11.4" x14ac:dyDescent="0.2">
      <c r="A212" s="283"/>
      <c r="C212" s="106"/>
      <c r="D212" s="107"/>
    </row>
    <row r="213" spans="1:4" s="7" customFormat="1" ht="11.4" x14ac:dyDescent="0.2">
      <c r="A213" s="283"/>
      <c r="C213" s="106"/>
      <c r="D213" s="107"/>
    </row>
    <row r="214" spans="1:4" s="7" customFormat="1" ht="11.4" x14ac:dyDescent="0.2">
      <c r="A214" s="283"/>
      <c r="C214" s="106"/>
      <c r="D214" s="107"/>
    </row>
    <row r="215" spans="1:4" s="7" customFormat="1" ht="11.4" x14ac:dyDescent="0.2">
      <c r="A215" s="283"/>
      <c r="C215" s="106"/>
      <c r="D215" s="107"/>
    </row>
    <row r="216" spans="1:4" s="7" customFormat="1" ht="11.4" x14ac:dyDescent="0.2">
      <c r="A216" s="283"/>
      <c r="C216" s="106"/>
      <c r="D216" s="107"/>
    </row>
    <row r="217" spans="1:4" s="7" customFormat="1" ht="11.4" x14ac:dyDescent="0.2">
      <c r="A217" s="283"/>
      <c r="C217" s="106"/>
      <c r="D217" s="107"/>
    </row>
    <row r="218" spans="1:4" s="7" customFormat="1" ht="11.4" x14ac:dyDescent="0.2">
      <c r="A218" s="283"/>
      <c r="C218" s="106"/>
      <c r="D218" s="107"/>
    </row>
    <row r="219" spans="1:4" s="7" customFormat="1" ht="11.4" x14ac:dyDescent="0.2">
      <c r="A219" s="283"/>
      <c r="C219" s="106"/>
      <c r="D219" s="107"/>
    </row>
    <row r="220" spans="1:4" s="7" customFormat="1" ht="11.4" x14ac:dyDescent="0.2">
      <c r="A220" s="283"/>
      <c r="C220" s="106"/>
      <c r="D220" s="107"/>
    </row>
    <row r="221" spans="1:4" s="7" customFormat="1" ht="11.4" x14ac:dyDescent="0.2">
      <c r="A221" s="283"/>
      <c r="C221" s="106"/>
      <c r="D221" s="107"/>
    </row>
    <row r="222" spans="1:4" s="7" customFormat="1" ht="11.4" x14ac:dyDescent="0.2">
      <c r="A222" s="283"/>
      <c r="C222" s="106"/>
      <c r="D222" s="107"/>
    </row>
    <row r="223" spans="1:4" s="7" customFormat="1" ht="11.4" x14ac:dyDescent="0.2">
      <c r="A223" s="283"/>
      <c r="C223" s="106"/>
      <c r="D223" s="107"/>
    </row>
    <row r="224" spans="1:4" s="7" customFormat="1" ht="11.4" x14ac:dyDescent="0.2">
      <c r="A224" s="283"/>
      <c r="C224" s="106"/>
      <c r="D224" s="107"/>
    </row>
    <row r="225" spans="1:4" s="7" customFormat="1" ht="11.4" x14ac:dyDescent="0.2">
      <c r="A225" s="283"/>
      <c r="C225" s="106"/>
      <c r="D225" s="107"/>
    </row>
    <row r="226" spans="1:4" s="7" customFormat="1" ht="11.4" x14ac:dyDescent="0.2">
      <c r="A226" s="283"/>
      <c r="C226" s="106"/>
      <c r="D226" s="107"/>
    </row>
    <row r="227" spans="1:4" s="7" customFormat="1" ht="11.4" x14ac:dyDescent="0.2">
      <c r="A227" s="283"/>
      <c r="C227" s="106"/>
      <c r="D227" s="107"/>
    </row>
    <row r="228" spans="1:4" s="7" customFormat="1" ht="11.4" x14ac:dyDescent="0.2">
      <c r="A228" s="283"/>
      <c r="C228" s="106"/>
      <c r="D228" s="107"/>
    </row>
    <row r="229" spans="1:4" s="7" customFormat="1" ht="11.4" x14ac:dyDescent="0.2">
      <c r="A229" s="283"/>
      <c r="C229" s="106"/>
      <c r="D229" s="107"/>
    </row>
    <row r="230" spans="1:4" s="7" customFormat="1" ht="11.4" x14ac:dyDescent="0.2">
      <c r="A230" s="283"/>
      <c r="C230" s="106"/>
      <c r="D230" s="107"/>
    </row>
    <row r="231" spans="1:4" s="7" customFormat="1" ht="11.4" x14ac:dyDescent="0.2">
      <c r="A231" s="283"/>
      <c r="C231" s="106"/>
      <c r="D231" s="107"/>
    </row>
    <row r="232" spans="1:4" s="7" customFormat="1" ht="11.4" x14ac:dyDescent="0.2">
      <c r="A232" s="283"/>
      <c r="C232" s="106"/>
      <c r="D232" s="107"/>
    </row>
    <row r="233" spans="1:4" s="7" customFormat="1" ht="11.4" x14ac:dyDescent="0.2">
      <c r="A233" s="283"/>
      <c r="C233" s="106"/>
      <c r="D233" s="107"/>
    </row>
    <row r="234" spans="1:4" s="7" customFormat="1" ht="11.4" x14ac:dyDescent="0.2">
      <c r="A234" s="283"/>
      <c r="C234" s="106"/>
      <c r="D234" s="107"/>
    </row>
    <row r="235" spans="1:4" s="7" customFormat="1" ht="11.4" x14ac:dyDescent="0.2">
      <c r="A235" s="283"/>
      <c r="C235" s="106"/>
      <c r="D235" s="107"/>
    </row>
    <row r="236" spans="1:4" s="7" customFormat="1" ht="11.4" x14ac:dyDescent="0.2">
      <c r="A236" s="283"/>
      <c r="C236" s="106"/>
      <c r="D236" s="107"/>
    </row>
    <row r="237" spans="1:4" s="7" customFormat="1" ht="11.4" x14ac:dyDescent="0.2">
      <c r="A237" s="283"/>
      <c r="C237" s="106"/>
      <c r="D237" s="107"/>
    </row>
    <row r="238" spans="1:4" s="7" customFormat="1" ht="11.4" x14ac:dyDescent="0.2">
      <c r="A238" s="283"/>
      <c r="C238" s="106"/>
      <c r="D238" s="107"/>
    </row>
    <row r="239" spans="1:4" s="7" customFormat="1" ht="11.4" x14ac:dyDescent="0.2">
      <c r="A239" s="283"/>
      <c r="C239" s="106"/>
      <c r="D239" s="107"/>
    </row>
    <row r="240" spans="1:4" s="7" customFormat="1" ht="11.4" x14ac:dyDescent="0.2">
      <c r="A240" s="283"/>
      <c r="C240" s="106"/>
      <c r="D240" s="107"/>
    </row>
    <row r="241" spans="1:4" s="7" customFormat="1" ht="11.4" x14ac:dyDescent="0.2">
      <c r="A241" s="283"/>
      <c r="C241" s="106"/>
      <c r="D241" s="107"/>
    </row>
    <row r="242" spans="1:4" s="7" customFormat="1" ht="11.4" x14ac:dyDescent="0.2">
      <c r="A242" s="283"/>
      <c r="C242" s="106"/>
      <c r="D242" s="107"/>
    </row>
    <row r="243" spans="1:4" s="7" customFormat="1" ht="11.4" x14ac:dyDescent="0.2">
      <c r="A243" s="283"/>
      <c r="C243" s="106"/>
      <c r="D243" s="107"/>
    </row>
    <row r="244" spans="1:4" s="7" customFormat="1" ht="11.4" x14ac:dyDescent="0.2">
      <c r="A244" s="283"/>
      <c r="C244" s="106"/>
      <c r="D244" s="107"/>
    </row>
    <row r="245" spans="1:4" s="7" customFormat="1" ht="11.4" x14ac:dyDescent="0.2">
      <c r="A245" s="283"/>
      <c r="C245" s="106"/>
      <c r="D245" s="107"/>
    </row>
    <row r="246" spans="1:4" s="7" customFormat="1" ht="11.4" x14ac:dyDescent="0.2">
      <c r="A246" s="283"/>
      <c r="C246" s="106"/>
      <c r="D246" s="107"/>
    </row>
    <row r="247" spans="1:4" s="7" customFormat="1" ht="11.4" x14ac:dyDescent="0.2">
      <c r="A247" s="283"/>
      <c r="C247" s="106"/>
      <c r="D247" s="107"/>
    </row>
    <row r="248" spans="1:4" s="7" customFormat="1" ht="11.4" x14ac:dyDescent="0.2">
      <c r="A248" s="283"/>
      <c r="C248" s="106"/>
      <c r="D248" s="107"/>
    </row>
    <row r="249" spans="1:4" s="7" customFormat="1" ht="11.4" x14ac:dyDescent="0.2">
      <c r="A249" s="283"/>
      <c r="C249" s="106"/>
      <c r="D249" s="107"/>
    </row>
    <row r="250" spans="1:4" s="7" customFormat="1" ht="11.4" x14ac:dyDescent="0.2">
      <c r="A250" s="283"/>
      <c r="C250" s="106"/>
      <c r="D250" s="107"/>
    </row>
    <row r="251" spans="1:4" s="7" customFormat="1" ht="11.4" x14ac:dyDescent="0.2">
      <c r="A251" s="283"/>
      <c r="C251" s="106"/>
      <c r="D251" s="107"/>
    </row>
    <row r="252" spans="1:4" s="7" customFormat="1" ht="11.4" x14ac:dyDescent="0.2">
      <c r="A252" s="283"/>
      <c r="C252" s="106"/>
      <c r="D252" s="107"/>
    </row>
    <row r="253" spans="1:4" s="7" customFormat="1" ht="11.4" x14ac:dyDescent="0.2">
      <c r="A253" s="283"/>
      <c r="C253" s="106"/>
      <c r="D253" s="107"/>
    </row>
    <row r="254" spans="1:4" s="7" customFormat="1" ht="11.4" x14ac:dyDescent="0.2">
      <c r="A254" s="283"/>
      <c r="C254" s="106"/>
      <c r="D254" s="107"/>
    </row>
    <row r="255" spans="1:4" s="7" customFormat="1" ht="11.4" x14ac:dyDescent="0.2">
      <c r="A255" s="283"/>
      <c r="C255" s="106"/>
      <c r="D255" s="107"/>
    </row>
    <row r="256" spans="1:4" s="7" customFormat="1" ht="11.4" x14ac:dyDescent="0.2">
      <c r="A256" s="283"/>
      <c r="C256" s="106"/>
      <c r="D256" s="107"/>
    </row>
    <row r="257" spans="1:4" s="7" customFormat="1" ht="11.4" x14ac:dyDescent="0.2">
      <c r="A257" s="283"/>
      <c r="C257" s="106"/>
      <c r="D257" s="107"/>
    </row>
    <row r="258" spans="1:4" s="7" customFormat="1" ht="11.4" x14ac:dyDescent="0.2">
      <c r="A258" s="283"/>
      <c r="C258" s="106"/>
      <c r="D258" s="107"/>
    </row>
    <row r="259" spans="1:4" s="7" customFormat="1" ht="11.4" x14ac:dyDescent="0.2">
      <c r="A259" s="283"/>
      <c r="C259" s="106"/>
      <c r="D259" s="107"/>
    </row>
    <row r="260" spans="1:4" s="7" customFormat="1" ht="11.4" x14ac:dyDescent="0.2">
      <c r="A260" s="283"/>
      <c r="C260" s="106"/>
      <c r="D260" s="107"/>
    </row>
    <row r="261" spans="1:4" s="7" customFormat="1" ht="11.4" x14ac:dyDescent="0.2">
      <c r="A261" s="283"/>
      <c r="C261" s="106"/>
      <c r="D261" s="107"/>
    </row>
    <row r="262" spans="1:4" s="7" customFormat="1" ht="11.4" x14ac:dyDescent="0.2">
      <c r="A262" s="283"/>
      <c r="C262" s="106"/>
      <c r="D262" s="107"/>
    </row>
    <row r="263" spans="1:4" s="7" customFormat="1" ht="11.4" x14ac:dyDescent="0.2">
      <c r="A263" s="283"/>
      <c r="C263" s="106"/>
      <c r="D263" s="107"/>
    </row>
    <row r="264" spans="1:4" s="7" customFormat="1" ht="11.4" x14ac:dyDescent="0.2">
      <c r="A264" s="283"/>
      <c r="C264" s="106"/>
      <c r="D264" s="107"/>
    </row>
    <row r="265" spans="1:4" s="7" customFormat="1" ht="11.4" x14ac:dyDescent="0.2">
      <c r="A265" s="283"/>
      <c r="C265" s="106"/>
      <c r="D265" s="107"/>
    </row>
    <row r="266" spans="1:4" s="7" customFormat="1" ht="11.4" x14ac:dyDescent="0.2">
      <c r="A266" s="283"/>
      <c r="C266" s="106"/>
      <c r="D266" s="107"/>
    </row>
    <row r="267" spans="1:4" s="7" customFormat="1" ht="11.4" x14ac:dyDescent="0.2">
      <c r="A267" s="283"/>
      <c r="C267" s="106"/>
      <c r="D267" s="107"/>
    </row>
    <row r="268" spans="1:4" s="7" customFormat="1" ht="11.4" x14ac:dyDescent="0.2">
      <c r="A268" s="283"/>
      <c r="C268" s="106"/>
      <c r="D268" s="107"/>
    </row>
    <row r="269" spans="1:4" s="7" customFormat="1" ht="11.4" x14ac:dyDescent="0.2">
      <c r="A269" s="283"/>
      <c r="C269" s="106"/>
      <c r="D269" s="107"/>
    </row>
    <row r="270" spans="1:4" s="7" customFormat="1" ht="11.4" x14ac:dyDescent="0.2">
      <c r="A270" s="283"/>
      <c r="C270" s="106"/>
      <c r="D270" s="107"/>
    </row>
    <row r="271" spans="1:4" s="7" customFormat="1" ht="11.4" x14ac:dyDescent="0.2">
      <c r="A271" s="283"/>
      <c r="C271" s="106"/>
      <c r="D271" s="107"/>
    </row>
    <row r="272" spans="1:4" s="7" customFormat="1" ht="11.4" x14ac:dyDescent="0.2">
      <c r="A272" s="283"/>
      <c r="C272" s="106"/>
      <c r="D272" s="107"/>
    </row>
    <row r="273" spans="1:4" s="7" customFormat="1" ht="11.4" x14ac:dyDescent="0.2">
      <c r="A273" s="283"/>
      <c r="C273" s="106"/>
      <c r="D273" s="107"/>
    </row>
    <row r="274" spans="1:4" s="7" customFormat="1" ht="11.4" x14ac:dyDescent="0.2">
      <c r="A274" s="283"/>
      <c r="C274" s="106"/>
      <c r="D274" s="107"/>
    </row>
    <row r="275" spans="1:4" s="7" customFormat="1" ht="11.4" x14ac:dyDescent="0.2">
      <c r="A275" s="283"/>
      <c r="C275" s="106"/>
      <c r="D275" s="107"/>
    </row>
    <row r="276" spans="1:4" s="7" customFormat="1" ht="11.4" x14ac:dyDescent="0.2">
      <c r="A276" s="283"/>
      <c r="C276" s="106"/>
      <c r="D276" s="107"/>
    </row>
    <row r="277" spans="1:4" s="7" customFormat="1" ht="11.4" x14ac:dyDescent="0.2">
      <c r="A277" s="283"/>
      <c r="C277" s="106"/>
      <c r="D277" s="107"/>
    </row>
    <row r="278" spans="1:4" s="7" customFormat="1" ht="11.4" x14ac:dyDescent="0.2">
      <c r="A278" s="283"/>
      <c r="C278" s="106"/>
      <c r="D278" s="107"/>
    </row>
    <row r="279" spans="1:4" s="7" customFormat="1" ht="11.4" x14ac:dyDescent="0.2">
      <c r="A279" s="283"/>
      <c r="C279" s="106"/>
      <c r="D279" s="107"/>
    </row>
    <row r="280" spans="1:4" s="7" customFormat="1" ht="11.4" x14ac:dyDescent="0.2">
      <c r="A280" s="283"/>
      <c r="C280" s="106"/>
      <c r="D280" s="107"/>
    </row>
    <row r="281" spans="1:4" s="7" customFormat="1" ht="11.4" x14ac:dyDescent="0.2">
      <c r="A281" s="283"/>
      <c r="C281" s="106"/>
      <c r="D281" s="107"/>
    </row>
    <row r="282" spans="1:4" s="7" customFormat="1" ht="11.4" x14ac:dyDescent="0.2">
      <c r="A282" s="283"/>
      <c r="C282" s="106"/>
      <c r="D282" s="107"/>
    </row>
    <row r="283" spans="1:4" s="7" customFormat="1" ht="11.4" x14ac:dyDescent="0.2">
      <c r="A283" s="283"/>
      <c r="C283" s="106"/>
      <c r="D283" s="107"/>
    </row>
    <row r="284" spans="1:4" s="7" customFormat="1" ht="11.4" x14ac:dyDescent="0.2">
      <c r="A284" s="283"/>
      <c r="C284" s="106"/>
      <c r="D284" s="107"/>
    </row>
    <row r="285" spans="1:4" s="7" customFormat="1" ht="11.4" x14ac:dyDescent="0.2">
      <c r="A285" s="283"/>
      <c r="C285" s="106"/>
      <c r="D285" s="107"/>
    </row>
    <row r="286" spans="1:4" s="7" customFormat="1" ht="11.4" x14ac:dyDescent="0.2">
      <c r="A286" s="283"/>
      <c r="C286" s="106"/>
      <c r="D286" s="107"/>
    </row>
    <row r="287" spans="1:4" s="7" customFormat="1" ht="11.4" x14ac:dyDescent="0.2">
      <c r="A287" s="283"/>
      <c r="C287" s="106"/>
      <c r="D287" s="107"/>
    </row>
    <row r="288" spans="1:4" s="7" customFormat="1" ht="11.4" x14ac:dyDescent="0.2">
      <c r="A288" s="283"/>
      <c r="C288" s="106"/>
      <c r="D288" s="107"/>
    </row>
    <row r="289" spans="1:4" s="7" customFormat="1" ht="11.4" x14ac:dyDescent="0.2">
      <c r="A289" s="283"/>
      <c r="C289" s="106"/>
      <c r="D289" s="107"/>
    </row>
    <row r="290" spans="1:4" s="7" customFormat="1" ht="11.4" x14ac:dyDescent="0.2">
      <c r="A290" s="283"/>
      <c r="C290" s="106"/>
      <c r="D290" s="107"/>
    </row>
    <row r="291" spans="1:4" s="7" customFormat="1" ht="11.4" x14ac:dyDescent="0.2">
      <c r="A291" s="283"/>
      <c r="C291" s="106"/>
      <c r="D291" s="107"/>
    </row>
    <row r="292" spans="1:4" s="7" customFormat="1" ht="11.4" x14ac:dyDescent="0.2">
      <c r="A292" s="283"/>
      <c r="C292" s="106"/>
      <c r="D292" s="107"/>
    </row>
    <row r="293" spans="1:4" s="7" customFormat="1" ht="11.4" x14ac:dyDescent="0.2">
      <c r="A293" s="283"/>
      <c r="C293" s="106"/>
      <c r="D293" s="107"/>
    </row>
    <row r="294" spans="1:4" s="7" customFormat="1" ht="11.4" x14ac:dyDescent="0.2">
      <c r="A294" s="283"/>
      <c r="C294" s="106"/>
      <c r="D294" s="107"/>
    </row>
    <row r="295" spans="1:4" s="7" customFormat="1" ht="11.4" x14ac:dyDescent="0.2">
      <c r="A295" s="283"/>
      <c r="C295" s="106"/>
      <c r="D295" s="107"/>
    </row>
    <row r="296" spans="1:4" s="7" customFormat="1" ht="11.4" x14ac:dyDescent="0.2">
      <c r="A296" s="283"/>
      <c r="C296" s="106"/>
      <c r="D296" s="107"/>
    </row>
    <row r="297" spans="1:4" s="7" customFormat="1" ht="11.4" x14ac:dyDescent="0.2">
      <c r="A297" s="283"/>
      <c r="C297" s="106"/>
      <c r="D297" s="107"/>
    </row>
    <row r="298" spans="1:4" s="7" customFormat="1" ht="11.4" x14ac:dyDescent="0.2">
      <c r="A298" s="283"/>
      <c r="C298" s="106"/>
      <c r="D298" s="107"/>
    </row>
    <row r="299" spans="1:4" s="7" customFormat="1" ht="11.4" x14ac:dyDescent="0.2">
      <c r="A299" s="283"/>
      <c r="C299" s="106"/>
      <c r="D299" s="107"/>
    </row>
    <row r="300" spans="1:4" s="7" customFormat="1" ht="11.4" x14ac:dyDescent="0.2">
      <c r="A300" s="283"/>
      <c r="C300" s="106"/>
      <c r="D300" s="107"/>
    </row>
    <row r="301" spans="1:4" s="7" customFormat="1" ht="11.4" x14ac:dyDescent="0.2">
      <c r="A301" s="283"/>
      <c r="C301" s="106"/>
      <c r="D301" s="107"/>
    </row>
    <row r="302" spans="1:4" s="7" customFormat="1" ht="11.4" x14ac:dyDescent="0.2">
      <c r="A302" s="283"/>
      <c r="C302" s="106"/>
      <c r="D302" s="107"/>
    </row>
    <row r="303" spans="1:4" s="7" customFormat="1" ht="11.4" x14ac:dyDescent="0.2">
      <c r="A303" s="283"/>
      <c r="C303" s="106"/>
      <c r="D303" s="107"/>
    </row>
    <row r="304" spans="1:4" s="7" customFormat="1" ht="11.4" x14ac:dyDescent="0.2">
      <c r="A304" s="283"/>
      <c r="C304" s="106"/>
      <c r="D304" s="107"/>
    </row>
    <row r="305" spans="1:4" s="7" customFormat="1" ht="11.4" x14ac:dyDescent="0.2">
      <c r="A305" s="283"/>
      <c r="C305" s="106"/>
      <c r="D305" s="107"/>
    </row>
    <row r="306" spans="1:4" s="7" customFormat="1" ht="11.4" x14ac:dyDescent="0.2">
      <c r="A306" s="283"/>
      <c r="C306" s="106"/>
      <c r="D306" s="107"/>
    </row>
    <row r="307" spans="1:4" s="7" customFormat="1" ht="11.4" x14ac:dyDescent="0.2">
      <c r="A307" s="283"/>
      <c r="C307" s="106"/>
      <c r="D307" s="107"/>
    </row>
    <row r="308" spans="1:4" s="7" customFormat="1" ht="11.4" x14ac:dyDescent="0.2">
      <c r="A308" s="283"/>
      <c r="C308" s="106"/>
      <c r="D308" s="107"/>
    </row>
    <row r="309" spans="1:4" s="7" customFormat="1" ht="11.4" x14ac:dyDescent="0.2">
      <c r="A309" s="283"/>
      <c r="C309" s="106"/>
      <c r="D309" s="107"/>
    </row>
    <row r="310" spans="1:4" s="7" customFormat="1" ht="11.4" x14ac:dyDescent="0.2">
      <c r="A310" s="283"/>
      <c r="C310" s="106"/>
      <c r="D310" s="107"/>
    </row>
    <row r="311" spans="1:4" s="7" customFormat="1" ht="11.4" x14ac:dyDescent="0.2">
      <c r="A311" s="283"/>
      <c r="C311" s="106"/>
      <c r="D311" s="107"/>
    </row>
    <row r="312" spans="1:4" s="7" customFormat="1" ht="11.4" x14ac:dyDescent="0.2">
      <c r="A312" s="283"/>
      <c r="C312" s="106"/>
      <c r="D312" s="107"/>
    </row>
    <row r="313" spans="1:4" s="7" customFormat="1" ht="11.4" x14ac:dyDescent="0.2">
      <c r="A313" s="283"/>
      <c r="C313" s="106"/>
      <c r="D313" s="107"/>
    </row>
    <row r="314" spans="1:4" s="7" customFormat="1" ht="11.4" x14ac:dyDescent="0.2">
      <c r="A314" s="283"/>
      <c r="C314" s="106"/>
      <c r="D314" s="107"/>
    </row>
    <row r="315" spans="1:4" s="7" customFormat="1" ht="11.4" x14ac:dyDescent="0.2">
      <c r="A315" s="283"/>
      <c r="C315" s="106"/>
      <c r="D315" s="107"/>
    </row>
    <row r="316" spans="1:4" s="7" customFormat="1" ht="11.4" x14ac:dyDescent="0.2">
      <c r="A316" s="283"/>
      <c r="C316" s="106"/>
      <c r="D316" s="107"/>
    </row>
    <row r="317" spans="1:4" s="7" customFormat="1" ht="11.4" x14ac:dyDescent="0.2">
      <c r="A317" s="283"/>
      <c r="C317" s="106"/>
      <c r="D317" s="107"/>
    </row>
    <row r="318" spans="1:4" s="7" customFormat="1" ht="11.4" x14ac:dyDescent="0.2">
      <c r="A318" s="283"/>
      <c r="C318" s="106"/>
      <c r="D318" s="107"/>
    </row>
    <row r="319" spans="1:4" s="7" customFormat="1" ht="11.4" x14ac:dyDescent="0.2">
      <c r="A319" s="283"/>
      <c r="C319" s="106"/>
      <c r="D319" s="107"/>
    </row>
    <row r="320" spans="1:4" s="7" customFormat="1" ht="11.4" x14ac:dyDescent="0.2">
      <c r="A320" s="283"/>
      <c r="C320" s="106"/>
      <c r="D320" s="107"/>
    </row>
    <row r="321" spans="1:4" s="7" customFormat="1" ht="11.4" x14ac:dyDescent="0.2">
      <c r="A321" s="283"/>
      <c r="C321" s="106"/>
      <c r="D321" s="107"/>
    </row>
    <row r="322" spans="1:4" s="7" customFormat="1" ht="11.4" x14ac:dyDescent="0.2">
      <c r="A322" s="283"/>
      <c r="C322" s="106"/>
      <c r="D322" s="107"/>
    </row>
    <row r="323" spans="1:4" s="7" customFormat="1" ht="11.4" x14ac:dyDescent="0.2">
      <c r="A323" s="283"/>
      <c r="C323" s="106"/>
      <c r="D323" s="107"/>
    </row>
    <row r="324" spans="1:4" s="7" customFormat="1" ht="11.4" x14ac:dyDescent="0.2">
      <c r="A324" s="283"/>
      <c r="C324" s="106"/>
      <c r="D324" s="107"/>
    </row>
    <row r="325" spans="1:4" s="7" customFormat="1" ht="11.4" x14ac:dyDescent="0.2">
      <c r="A325" s="283"/>
      <c r="C325" s="106"/>
      <c r="D325" s="107"/>
    </row>
    <row r="326" spans="1:4" s="7" customFormat="1" ht="11.4" x14ac:dyDescent="0.2">
      <c r="A326" s="283"/>
      <c r="C326" s="106"/>
      <c r="D326" s="107"/>
    </row>
    <row r="327" spans="1:4" s="7" customFormat="1" ht="11.4" x14ac:dyDescent="0.2">
      <c r="A327" s="283"/>
      <c r="C327" s="106"/>
      <c r="D327" s="107"/>
    </row>
    <row r="328" spans="1:4" s="7" customFormat="1" ht="11.4" x14ac:dyDescent="0.2">
      <c r="A328" s="283"/>
      <c r="C328" s="106"/>
      <c r="D328" s="107"/>
    </row>
    <row r="329" spans="1:4" s="7" customFormat="1" ht="11.4" x14ac:dyDescent="0.2">
      <c r="A329" s="283"/>
      <c r="C329" s="106"/>
      <c r="D329" s="107"/>
    </row>
    <row r="330" spans="1:4" s="7" customFormat="1" ht="11.4" x14ac:dyDescent="0.2">
      <c r="A330" s="283"/>
      <c r="C330" s="106"/>
      <c r="D330" s="107"/>
    </row>
    <row r="331" spans="1:4" s="7" customFormat="1" ht="11.4" x14ac:dyDescent="0.2">
      <c r="A331" s="283"/>
      <c r="C331" s="106"/>
      <c r="D331" s="107"/>
    </row>
    <row r="332" spans="1:4" s="7" customFormat="1" ht="11.4" x14ac:dyDescent="0.2">
      <c r="A332" s="283"/>
      <c r="C332" s="106"/>
      <c r="D332" s="107"/>
    </row>
    <row r="333" spans="1:4" s="7" customFormat="1" ht="11.4" x14ac:dyDescent="0.2">
      <c r="A333" s="283"/>
      <c r="C333" s="106"/>
      <c r="D333" s="107"/>
    </row>
    <row r="334" spans="1:4" s="7" customFormat="1" ht="11.4" x14ac:dyDescent="0.2">
      <c r="A334" s="283"/>
      <c r="C334" s="106"/>
      <c r="D334" s="107"/>
    </row>
    <row r="335" spans="1:4" s="7" customFormat="1" ht="11.4" x14ac:dyDescent="0.2">
      <c r="A335" s="283"/>
      <c r="C335" s="106"/>
      <c r="D335" s="107"/>
    </row>
    <row r="336" spans="1:4" s="7" customFormat="1" ht="11.4" x14ac:dyDescent="0.2">
      <c r="A336" s="283"/>
      <c r="C336" s="106"/>
      <c r="D336" s="107"/>
    </row>
    <row r="337" spans="1:4" s="7" customFormat="1" ht="11.4" x14ac:dyDescent="0.2">
      <c r="A337" s="283"/>
      <c r="C337" s="106"/>
      <c r="D337" s="107"/>
    </row>
    <row r="338" spans="1:4" s="7" customFormat="1" ht="11.4" x14ac:dyDescent="0.2">
      <c r="A338" s="283"/>
      <c r="C338" s="106"/>
      <c r="D338" s="107"/>
    </row>
    <row r="339" spans="1:4" s="7" customFormat="1" ht="11.4" x14ac:dyDescent="0.2">
      <c r="A339" s="283"/>
      <c r="C339" s="106"/>
      <c r="D339" s="107"/>
    </row>
    <row r="340" spans="1:4" s="7" customFormat="1" ht="11.4" x14ac:dyDescent="0.2">
      <c r="A340" s="283"/>
      <c r="C340" s="106"/>
      <c r="D340" s="107"/>
    </row>
    <row r="341" spans="1:4" s="7" customFormat="1" ht="11.4" x14ac:dyDescent="0.2">
      <c r="A341" s="283"/>
      <c r="C341" s="106"/>
      <c r="D341" s="107"/>
    </row>
    <row r="342" spans="1:4" s="7" customFormat="1" ht="11.4" x14ac:dyDescent="0.2">
      <c r="A342" s="283"/>
      <c r="C342" s="106"/>
      <c r="D342" s="107"/>
    </row>
    <row r="343" spans="1:4" s="7" customFormat="1" ht="11.4" x14ac:dyDescent="0.2">
      <c r="A343" s="283"/>
      <c r="C343" s="106"/>
      <c r="D343" s="107"/>
    </row>
    <row r="344" spans="1:4" s="7" customFormat="1" ht="11.4" x14ac:dyDescent="0.2">
      <c r="A344" s="283"/>
      <c r="C344" s="106"/>
      <c r="D344" s="107"/>
    </row>
    <row r="345" spans="1:4" s="7" customFormat="1" ht="11.4" x14ac:dyDescent="0.2">
      <c r="A345" s="283"/>
      <c r="C345" s="106"/>
      <c r="D345" s="107"/>
    </row>
    <row r="346" spans="1:4" s="7" customFormat="1" ht="11.4" x14ac:dyDescent="0.2">
      <c r="A346" s="283"/>
      <c r="C346" s="106"/>
      <c r="D346" s="107"/>
    </row>
    <row r="347" spans="1:4" s="7" customFormat="1" ht="11.4" x14ac:dyDescent="0.2">
      <c r="A347" s="283"/>
      <c r="C347" s="106"/>
      <c r="D347" s="107"/>
    </row>
    <row r="348" spans="1:4" s="7" customFormat="1" ht="11.4" x14ac:dyDescent="0.2">
      <c r="A348" s="283"/>
      <c r="C348" s="106"/>
      <c r="D348" s="107"/>
    </row>
    <row r="349" spans="1:4" s="7" customFormat="1" ht="11.4" x14ac:dyDescent="0.2">
      <c r="A349" s="283"/>
      <c r="C349" s="106"/>
      <c r="D349" s="107"/>
    </row>
    <row r="350" spans="1:4" s="7" customFormat="1" ht="11.4" x14ac:dyDescent="0.2">
      <c r="A350" s="283"/>
      <c r="C350" s="106"/>
      <c r="D350" s="107"/>
    </row>
    <row r="351" spans="1:4" s="7" customFormat="1" ht="11.4" x14ac:dyDescent="0.2">
      <c r="A351" s="283"/>
      <c r="C351" s="106"/>
      <c r="D351" s="107"/>
    </row>
    <row r="352" spans="1:4" s="7" customFormat="1" ht="11.4" x14ac:dyDescent="0.2">
      <c r="A352" s="283"/>
      <c r="C352" s="106"/>
      <c r="D352" s="107"/>
    </row>
    <row r="353" spans="1:4" s="7" customFormat="1" ht="11.4" x14ac:dyDescent="0.2">
      <c r="A353" s="283"/>
      <c r="C353" s="106"/>
      <c r="D353" s="107"/>
    </row>
    <row r="354" spans="1:4" s="7" customFormat="1" ht="11.4" x14ac:dyDescent="0.2">
      <c r="A354" s="283"/>
      <c r="C354" s="106"/>
      <c r="D354" s="107"/>
    </row>
    <row r="355" spans="1:4" s="7" customFormat="1" ht="11.4" x14ac:dyDescent="0.2">
      <c r="A355" s="283"/>
      <c r="C355" s="106"/>
      <c r="D355" s="107"/>
    </row>
    <row r="356" spans="1:4" s="7" customFormat="1" ht="11.4" x14ac:dyDescent="0.2">
      <c r="A356" s="283"/>
      <c r="C356" s="106"/>
      <c r="D356" s="107"/>
    </row>
    <row r="357" spans="1:4" s="7" customFormat="1" ht="11.4" x14ac:dyDescent="0.2">
      <c r="A357" s="283"/>
      <c r="C357" s="106"/>
      <c r="D357" s="107"/>
    </row>
    <row r="358" spans="1:4" s="7" customFormat="1" ht="11.4" x14ac:dyDescent="0.2">
      <c r="A358" s="283"/>
      <c r="C358" s="106"/>
      <c r="D358" s="107"/>
    </row>
    <row r="359" spans="1:4" s="7" customFormat="1" ht="11.4" x14ac:dyDescent="0.2">
      <c r="A359" s="283"/>
      <c r="C359" s="106"/>
      <c r="D359" s="107"/>
    </row>
    <row r="360" spans="1:4" s="7" customFormat="1" ht="11.4" x14ac:dyDescent="0.2">
      <c r="A360" s="283"/>
      <c r="C360" s="106"/>
      <c r="D360" s="107"/>
    </row>
    <row r="361" spans="1:4" s="7" customFormat="1" ht="11.4" x14ac:dyDescent="0.2">
      <c r="A361" s="283"/>
      <c r="C361" s="106"/>
      <c r="D361" s="107"/>
    </row>
    <row r="362" spans="1:4" s="7" customFormat="1" ht="11.4" x14ac:dyDescent="0.2">
      <c r="A362" s="283"/>
      <c r="C362" s="106"/>
      <c r="D362" s="107"/>
    </row>
    <row r="363" spans="1:4" s="7" customFormat="1" ht="11.4" x14ac:dyDescent="0.2">
      <c r="A363" s="283"/>
      <c r="C363" s="106"/>
      <c r="D363" s="107"/>
    </row>
    <row r="364" spans="1:4" s="7" customFormat="1" ht="11.4" x14ac:dyDescent="0.2">
      <c r="A364" s="283"/>
      <c r="C364" s="106"/>
      <c r="D364" s="107"/>
    </row>
    <row r="365" spans="1:4" s="7" customFormat="1" ht="11.4" x14ac:dyDescent="0.2">
      <c r="A365" s="283"/>
      <c r="C365" s="106"/>
      <c r="D365" s="107"/>
    </row>
    <row r="366" spans="1:4" s="7" customFormat="1" ht="11.4" x14ac:dyDescent="0.2">
      <c r="A366" s="283"/>
      <c r="C366" s="106"/>
      <c r="D366" s="107"/>
    </row>
    <row r="367" spans="1:4" s="7" customFormat="1" ht="11.4" x14ac:dyDescent="0.2">
      <c r="A367" s="283"/>
      <c r="C367" s="106"/>
      <c r="D367" s="107"/>
    </row>
    <row r="368" spans="1:4" s="7" customFormat="1" ht="11.4" x14ac:dyDescent="0.2">
      <c r="A368" s="283"/>
      <c r="C368" s="106"/>
      <c r="D368" s="107"/>
    </row>
    <row r="369" spans="1:4" s="7" customFormat="1" ht="11.4" x14ac:dyDescent="0.2">
      <c r="A369" s="283"/>
      <c r="C369" s="106"/>
      <c r="D369" s="107"/>
    </row>
    <row r="370" spans="1:4" s="7" customFormat="1" ht="11.4" x14ac:dyDescent="0.2">
      <c r="A370" s="283"/>
      <c r="C370" s="106"/>
      <c r="D370" s="107"/>
    </row>
    <row r="371" spans="1:4" s="7" customFormat="1" ht="11.4" x14ac:dyDescent="0.2">
      <c r="A371" s="283"/>
      <c r="C371" s="106"/>
      <c r="D371" s="107"/>
    </row>
    <row r="372" spans="1:4" s="7" customFormat="1" ht="11.4" x14ac:dyDescent="0.2">
      <c r="A372" s="283"/>
      <c r="C372" s="106"/>
      <c r="D372" s="107"/>
    </row>
    <row r="373" spans="1:4" s="7" customFormat="1" ht="11.4" x14ac:dyDescent="0.2">
      <c r="A373" s="283"/>
      <c r="C373" s="106"/>
      <c r="D373" s="107"/>
    </row>
    <row r="374" spans="1:4" s="7" customFormat="1" ht="11.4" x14ac:dyDescent="0.2">
      <c r="A374" s="283"/>
      <c r="C374" s="106"/>
      <c r="D374" s="107"/>
    </row>
    <row r="375" spans="1:4" s="7" customFormat="1" ht="11.4" x14ac:dyDescent="0.2">
      <c r="A375" s="283"/>
      <c r="C375" s="106"/>
      <c r="D375" s="107"/>
    </row>
    <row r="376" spans="1:4" s="7" customFormat="1" ht="11.4" x14ac:dyDescent="0.2">
      <c r="A376" s="283"/>
      <c r="C376" s="106"/>
      <c r="D376" s="107"/>
    </row>
    <row r="377" spans="1:4" s="7" customFormat="1" ht="11.4" x14ac:dyDescent="0.2">
      <c r="A377" s="283"/>
      <c r="C377" s="106"/>
      <c r="D377" s="107"/>
    </row>
    <row r="378" spans="1:4" s="7" customFormat="1" ht="11.4" x14ac:dyDescent="0.2">
      <c r="A378" s="283"/>
      <c r="C378" s="106"/>
      <c r="D378" s="107"/>
    </row>
    <row r="379" spans="1:4" s="7" customFormat="1" ht="11.4" x14ac:dyDescent="0.2">
      <c r="A379" s="283"/>
      <c r="C379" s="106"/>
      <c r="D379" s="107"/>
    </row>
    <row r="380" spans="1:4" s="7" customFormat="1" ht="11.4" x14ac:dyDescent="0.2">
      <c r="A380" s="283"/>
      <c r="C380" s="106"/>
      <c r="D380" s="107"/>
    </row>
    <row r="381" spans="1:4" s="7" customFormat="1" ht="11.4" x14ac:dyDescent="0.2">
      <c r="A381" s="283"/>
      <c r="C381" s="106"/>
      <c r="D381" s="107"/>
    </row>
    <row r="382" spans="1:4" s="7" customFormat="1" ht="11.4" x14ac:dyDescent="0.2">
      <c r="A382" s="283"/>
      <c r="C382" s="106"/>
      <c r="D382" s="107"/>
    </row>
    <row r="383" spans="1:4" s="7" customFormat="1" ht="11.4" x14ac:dyDescent="0.2">
      <c r="A383" s="283"/>
      <c r="C383" s="106"/>
      <c r="D383" s="107"/>
    </row>
    <row r="384" spans="1:4" s="7" customFormat="1" ht="11.4" x14ac:dyDescent="0.2">
      <c r="A384" s="283"/>
      <c r="C384" s="106"/>
      <c r="D384" s="107"/>
    </row>
    <row r="385" spans="1:4" s="7" customFormat="1" ht="11.4" x14ac:dyDescent="0.2">
      <c r="A385" s="283"/>
      <c r="C385" s="106"/>
      <c r="D385" s="107"/>
    </row>
    <row r="386" spans="1:4" s="7" customFormat="1" ht="11.4" x14ac:dyDescent="0.2">
      <c r="A386" s="283"/>
      <c r="C386" s="106"/>
      <c r="D386" s="107"/>
    </row>
    <row r="387" spans="1:4" s="7" customFormat="1" ht="11.4" x14ac:dyDescent="0.2">
      <c r="A387" s="283"/>
      <c r="C387" s="106"/>
      <c r="D387" s="107"/>
    </row>
    <row r="388" spans="1:4" s="7" customFormat="1" ht="11.4" x14ac:dyDescent="0.2">
      <c r="A388" s="283"/>
      <c r="C388" s="106"/>
      <c r="D388" s="107"/>
    </row>
    <row r="389" spans="1:4" s="7" customFormat="1" ht="11.4" x14ac:dyDescent="0.2">
      <c r="A389" s="283"/>
      <c r="C389" s="106"/>
      <c r="D389" s="107"/>
    </row>
    <row r="390" spans="1:4" s="7" customFormat="1" ht="11.4" x14ac:dyDescent="0.2">
      <c r="A390" s="283"/>
      <c r="C390" s="106"/>
      <c r="D390" s="107"/>
    </row>
    <row r="391" spans="1:4" s="7" customFormat="1" ht="11.4" x14ac:dyDescent="0.2">
      <c r="A391" s="283"/>
      <c r="C391" s="106"/>
      <c r="D391" s="107"/>
    </row>
    <row r="392" spans="1:4" s="7" customFormat="1" ht="11.4" x14ac:dyDescent="0.2">
      <c r="A392" s="283"/>
      <c r="C392" s="106"/>
      <c r="D392" s="107"/>
    </row>
    <row r="393" spans="1:4" s="7" customFormat="1" ht="11.4" x14ac:dyDescent="0.2">
      <c r="A393" s="283"/>
      <c r="C393" s="106"/>
      <c r="D393" s="107"/>
    </row>
    <row r="394" spans="1:4" s="7" customFormat="1" ht="11.4" x14ac:dyDescent="0.2">
      <c r="A394" s="283"/>
      <c r="C394" s="106"/>
      <c r="D394" s="107"/>
    </row>
    <row r="395" spans="1:4" s="7" customFormat="1" ht="11.4" x14ac:dyDescent="0.2">
      <c r="A395" s="283"/>
      <c r="C395" s="106"/>
      <c r="D395" s="107"/>
    </row>
    <row r="396" spans="1:4" s="7" customFormat="1" ht="11.4" x14ac:dyDescent="0.2">
      <c r="A396" s="283"/>
      <c r="C396" s="106"/>
      <c r="D396" s="107"/>
    </row>
    <row r="397" spans="1:4" s="7" customFormat="1" ht="11.4" x14ac:dyDescent="0.2">
      <c r="A397" s="283"/>
      <c r="C397" s="106"/>
      <c r="D397" s="107"/>
    </row>
    <row r="398" spans="1:4" s="7" customFormat="1" ht="11.4" x14ac:dyDescent="0.2">
      <c r="A398" s="283"/>
      <c r="C398" s="106"/>
      <c r="D398" s="107"/>
    </row>
    <row r="399" spans="1:4" s="7" customFormat="1" ht="11.4" x14ac:dyDescent="0.2">
      <c r="A399" s="283"/>
      <c r="C399" s="106"/>
      <c r="D399" s="107"/>
    </row>
    <row r="400" spans="1:4" s="7" customFormat="1" ht="11.4" x14ac:dyDescent="0.2">
      <c r="A400" s="283"/>
      <c r="C400" s="106"/>
      <c r="D400" s="107"/>
    </row>
    <row r="401" spans="1:4" s="7" customFormat="1" ht="11.4" x14ac:dyDescent="0.2">
      <c r="A401" s="283"/>
      <c r="C401" s="106"/>
      <c r="D401" s="107"/>
    </row>
    <row r="402" spans="1:4" s="7" customFormat="1" ht="11.4" x14ac:dyDescent="0.2">
      <c r="A402" s="283"/>
      <c r="C402" s="106"/>
      <c r="D402" s="107"/>
    </row>
    <row r="403" spans="1:4" s="7" customFormat="1" ht="11.4" x14ac:dyDescent="0.2">
      <c r="A403" s="283"/>
      <c r="C403" s="106"/>
      <c r="D403" s="107"/>
    </row>
    <row r="404" spans="1:4" s="7" customFormat="1" ht="11.4" x14ac:dyDescent="0.2">
      <c r="A404" s="283"/>
      <c r="C404" s="106"/>
      <c r="D404" s="107"/>
    </row>
    <row r="405" spans="1:4" s="7" customFormat="1" ht="11.4" x14ac:dyDescent="0.2">
      <c r="A405" s="283"/>
      <c r="C405" s="106"/>
      <c r="D405" s="107"/>
    </row>
    <row r="406" spans="1:4" s="7" customFormat="1" ht="11.4" x14ac:dyDescent="0.2">
      <c r="A406" s="283"/>
      <c r="C406" s="106"/>
      <c r="D406" s="107"/>
    </row>
    <row r="407" spans="1:4" s="7" customFormat="1" ht="11.4" x14ac:dyDescent="0.2">
      <c r="A407" s="283"/>
      <c r="C407" s="106"/>
      <c r="D407" s="107"/>
    </row>
    <row r="408" spans="1:4" s="7" customFormat="1" ht="11.4" x14ac:dyDescent="0.2">
      <c r="A408" s="283"/>
      <c r="C408" s="106"/>
      <c r="D408" s="107"/>
    </row>
    <row r="409" spans="1:4" s="7" customFormat="1" ht="11.4" x14ac:dyDescent="0.2">
      <c r="A409" s="283"/>
      <c r="C409" s="106"/>
      <c r="D409" s="107"/>
    </row>
    <row r="410" spans="1:4" s="7" customFormat="1" ht="11.4" x14ac:dyDescent="0.2">
      <c r="A410" s="283"/>
      <c r="C410" s="106"/>
      <c r="D410" s="107"/>
    </row>
    <row r="411" spans="1:4" s="7" customFormat="1" ht="11.4" x14ac:dyDescent="0.2">
      <c r="A411" s="283"/>
      <c r="C411" s="106"/>
      <c r="D411" s="107"/>
    </row>
    <row r="412" spans="1:4" s="7" customFormat="1" ht="11.4" x14ac:dyDescent="0.2">
      <c r="A412" s="283"/>
      <c r="C412" s="106"/>
      <c r="D412" s="107"/>
    </row>
    <row r="413" spans="1:4" s="7" customFormat="1" ht="11.4" x14ac:dyDescent="0.2">
      <c r="A413" s="283"/>
      <c r="C413" s="106"/>
      <c r="D413" s="107"/>
    </row>
    <row r="414" spans="1:4" s="7" customFormat="1" ht="11.4" x14ac:dyDescent="0.2">
      <c r="A414" s="283"/>
      <c r="C414" s="106"/>
      <c r="D414" s="107"/>
    </row>
    <row r="415" spans="1:4" s="7" customFormat="1" ht="11.4" x14ac:dyDescent="0.2">
      <c r="A415" s="283"/>
      <c r="C415" s="106"/>
      <c r="D415" s="107"/>
    </row>
    <row r="416" spans="1:4" s="7" customFormat="1" ht="11.4" x14ac:dyDescent="0.2">
      <c r="A416" s="283"/>
      <c r="C416" s="106"/>
      <c r="D416" s="107"/>
    </row>
    <row r="417" spans="1:4" s="7" customFormat="1" ht="11.4" x14ac:dyDescent="0.2">
      <c r="A417" s="283"/>
      <c r="C417" s="106"/>
      <c r="D417" s="107"/>
    </row>
    <row r="418" spans="1:4" s="7" customFormat="1" ht="11.4" x14ac:dyDescent="0.2">
      <c r="A418" s="283"/>
      <c r="C418" s="106"/>
      <c r="D418" s="107"/>
    </row>
    <row r="419" spans="1:4" s="7" customFormat="1" ht="11.4" x14ac:dyDescent="0.2">
      <c r="A419" s="283"/>
      <c r="C419" s="106"/>
      <c r="D419" s="107"/>
    </row>
    <row r="420" spans="1:4" s="7" customFormat="1" ht="11.4" x14ac:dyDescent="0.2">
      <c r="A420" s="283"/>
      <c r="C420" s="106"/>
      <c r="D420" s="107"/>
    </row>
    <row r="421" spans="1:4" s="7" customFormat="1" ht="11.4" x14ac:dyDescent="0.2">
      <c r="A421" s="283"/>
      <c r="C421" s="106"/>
      <c r="D421" s="107"/>
    </row>
    <row r="422" spans="1:4" s="7" customFormat="1" ht="11.4" x14ac:dyDescent="0.2">
      <c r="A422" s="283"/>
      <c r="C422" s="106"/>
      <c r="D422" s="107"/>
    </row>
    <row r="423" spans="1:4" s="7" customFormat="1" ht="11.4" x14ac:dyDescent="0.2">
      <c r="A423" s="283"/>
      <c r="C423" s="106"/>
      <c r="D423" s="107"/>
    </row>
    <row r="424" spans="1:4" s="7" customFormat="1" ht="11.4" x14ac:dyDescent="0.2">
      <c r="A424" s="283"/>
      <c r="C424" s="106"/>
      <c r="D424" s="107"/>
    </row>
    <row r="425" spans="1:4" s="7" customFormat="1" ht="11.4" x14ac:dyDescent="0.2">
      <c r="A425" s="283"/>
      <c r="C425" s="106"/>
      <c r="D425" s="107"/>
    </row>
    <row r="426" spans="1:4" s="7" customFormat="1" ht="11.4" x14ac:dyDescent="0.2">
      <c r="A426" s="283"/>
      <c r="C426" s="106"/>
      <c r="D426" s="107"/>
    </row>
    <row r="427" spans="1:4" s="7" customFormat="1" ht="11.4" x14ac:dyDescent="0.2">
      <c r="A427" s="283"/>
      <c r="C427" s="106"/>
      <c r="D427" s="107"/>
    </row>
    <row r="428" spans="1:4" s="7" customFormat="1" ht="11.4" x14ac:dyDescent="0.2">
      <c r="A428" s="283"/>
      <c r="C428" s="106"/>
      <c r="D428" s="107"/>
    </row>
    <row r="429" spans="1:4" s="7" customFormat="1" ht="11.4" x14ac:dyDescent="0.2">
      <c r="A429" s="283"/>
      <c r="C429" s="106"/>
      <c r="D429" s="107"/>
    </row>
    <row r="430" spans="1:4" s="7" customFormat="1" ht="11.4" x14ac:dyDescent="0.2">
      <c r="A430" s="283"/>
      <c r="C430" s="106"/>
      <c r="D430" s="107"/>
    </row>
    <row r="431" spans="1:4" s="7" customFormat="1" ht="11.4" x14ac:dyDescent="0.2">
      <c r="A431" s="283"/>
      <c r="C431" s="106"/>
      <c r="D431" s="107"/>
    </row>
    <row r="432" spans="1:4" s="7" customFormat="1" ht="11.4" x14ac:dyDescent="0.2">
      <c r="A432" s="283"/>
      <c r="C432" s="106"/>
      <c r="D432" s="107"/>
    </row>
    <row r="433" spans="1:4" s="7" customFormat="1" ht="11.4" x14ac:dyDescent="0.2">
      <c r="A433" s="283"/>
      <c r="C433" s="106"/>
      <c r="D433" s="107"/>
    </row>
    <row r="434" spans="1:4" s="7" customFormat="1" ht="11.4" x14ac:dyDescent="0.2">
      <c r="A434" s="283"/>
      <c r="C434" s="106"/>
      <c r="D434" s="107"/>
    </row>
    <row r="435" spans="1:4" s="7" customFormat="1" ht="11.4" x14ac:dyDescent="0.2">
      <c r="A435" s="283"/>
      <c r="C435" s="106"/>
      <c r="D435" s="107"/>
    </row>
    <row r="436" spans="1:4" s="7" customFormat="1" ht="11.4" x14ac:dyDescent="0.2">
      <c r="A436" s="283"/>
      <c r="C436" s="106"/>
      <c r="D436" s="107"/>
    </row>
    <row r="437" spans="1:4" s="7" customFormat="1" ht="11.4" x14ac:dyDescent="0.2">
      <c r="A437" s="283"/>
      <c r="C437" s="106"/>
      <c r="D437" s="107"/>
    </row>
    <row r="438" spans="1:4" s="7" customFormat="1" ht="11.4" x14ac:dyDescent="0.2">
      <c r="A438" s="283"/>
      <c r="C438" s="106"/>
      <c r="D438" s="107"/>
    </row>
    <row r="439" spans="1:4" s="7" customFormat="1" ht="11.4" x14ac:dyDescent="0.2">
      <c r="A439" s="283"/>
      <c r="C439" s="106"/>
      <c r="D439" s="107"/>
    </row>
    <row r="440" spans="1:4" s="7" customFormat="1" ht="11.4" x14ac:dyDescent="0.2">
      <c r="A440" s="283"/>
      <c r="C440" s="106"/>
      <c r="D440" s="107"/>
    </row>
    <row r="441" spans="1:4" s="7" customFormat="1" ht="11.4" x14ac:dyDescent="0.2">
      <c r="A441" s="283"/>
      <c r="C441" s="106"/>
      <c r="D441" s="107"/>
    </row>
    <row r="442" spans="1:4" s="7" customFormat="1" ht="11.4" x14ac:dyDescent="0.2">
      <c r="A442" s="283"/>
      <c r="C442" s="106"/>
      <c r="D442" s="107"/>
    </row>
    <row r="443" spans="1:4" s="7" customFormat="1" ht="11.4" x14ac:dyDescent="0.2">
      <c r="A443" s="283"/>
      <c r="C443" s="106"/>
      <c r="D443" s="107"/>
    </row>
    <row r="444" spans="1:4" s="7" customFormat="1" ht="11.4" x14ac:dyDescent="0.2">
      <c r="A444" s="283"/>
      <c r="C444" s="106"/>
      <c r="D444" s="107"/>
    </row>
    <row r="445" spans="1:4" s="7" customFormat="1" ht="11.4" x14ac:dyDescent="0.2">
      <c r="A445" s="283"/>
      <c r="C445" s="106"/>
      <c r="D445" s="107"/>
    </row>
    <row r="446" spans="1:4" s="7" customFormat="1" ht="11.4" x14ac:dyDescent="0.2">
      <c r="A446" s="283"/>
      <c r="C446" s="106"/>
      <c r="D446" s="107"/>
    </row>
    <row r="447" spans="1:4" s="7" customFormat="1" ht="11.4" x14ac:dyDescent="0.2">
      <c r="A447" s="283"/>
      <c r="C447" s="106"/>
      <c r="D447" s="107"/>
    </row>
    <row r="448" spans="1:4" s="7" customFormat="1" ht="11.4" x14ac:dyDescent="0.2">
      <c r="A448" s="283"/>
      <c r="C448" s="106"/>
      <c r="D448" s="107"/>
    </row>
    <row r="449" spans="1:4" s="7" customFormat="1" ht="11.4" x14ac:dyDescent="0.2">
      <c r="A449" s="283"/>
      <c r="C449" s="106"/>
      <c r="D449" s="107"/>
    </row>
    <row r="450" spans="1:4" s="7" customFormat="1" ht="11.4" x14ac:dyDescent="0.2">
      <c r="A450" s="283"/>
      <c r="C450" s="106"/>
      <c r="D450" s="107"/>
    </row>
    <row r="451" spans="1:4" s="7" customFormat="1" ht="11.4" x14ac:dyDescent="0.2">
      <c r="A451" s="283"/>
      <c r="C451" s="106"/>
      <c r="D451" s="107"/>
    </row>
    <row r="452" spans="1:4" s="7" customFormat="1" ht="11.4" x14ac:dyDescent="0.2">
      <c r="A452" s="283"/>
      <c r="C452" s="106"/>
      <c r="D452" s="107"/>
    </row>
    <row r="453" spans="1:4" s="7" customFormat="1" ht="11.4" x14ac:dyDescent="0.2">
      <c r="A453" s="283"/>
      <c r="C453" s="106"/>
      <c r="D453" s="107"/>
    </row>
    <row r="454" spans="1:4" s="7" customFormat="1" ht="11.4" x14ac:dyDescent="0.2">
      <c r="A454" s="283"/>
      <c r="C454" s="106"/>
      <c r="D454" s="107"/>
    </row>
    <row r="455" spans="1:4" s="7" customFormat="1" ht="11.4" x14ac:dyDescent="0.2">
      <c r="A455" s="283"/>
      <c r="C455" s="106"/>
      <c r="D455" s="107"/>
    </row>
    <row r="456" spans="1:4" s="7" customFormat="1" ht="11.4" x14ac:dyDescent="0.2">
      <c r="A456" s="283"/>
      <c r="C456" s="106"/>
      <c r="D456" s="107"/>
    </row>
    <row r="457" spans="1:4" s="7" customFormat="1" ht="11.4" x14ac:dyDescent="0.2">
      <c r="A457" s="283"/>
      <c r="C457" s="106"/>
      <c r="D457" s="107"/>
    </row>
    <row r="458" spans="1:4" s="7" customFormat="1" ht="11.4" x14ac:dyDescent="0.2">
      <c r="A458" s="283"/>
      <c r="C458" s="106"/>
      <c r="D458" s="107"/>
    </row>
    <row r="459" spans="1:4" s="7" customFormat="1" ht="11.4" x14ac:dyDescent="0.2">
      <c r="A459" s="283"/>
      <c r="C459" s="106"/>
      <c r="D459" s="107"/>
    </row>
    <row r="460" spans="1:4" s="7" customFormat="1" ht="11.4" x14ac:dyDescent="0.2">
      <c r="A460" s="283"/>
      <c r="C460" s="106"/>
      <c r="D460" s="107"/>
    </row>
    <row r="461" spans="1:4" s="7" customFormat="1" ht="11.4" x14ac:dyDescent="0.2">
      <c r="A461" s="283"/>
      <c r="C461" s="106"/>
      <c r="D461" s="107"/>
    </row>
    <row r="462" spans="1:4" s="7" customFormat="1" ht="11.4" x14ac:dyDescent="0.2">
      <c r="A462" s="283"/>
      <c r="C462" s="106"/>
      <c r="D462" s="107"/>
    </row>
    <row r="463" spans="1:4" s="7" customFormat="1" ht="11.4" x14ac:dyDescent="0.2">
      <c r="A463" s="283"/>
      <c r="C463" s="106"/>
      <c r="D463" s="107"/>
    </row>
    <row r="464" spans="1:4" s="7" customFormat="1" ht="11.4" x14ac:dyDescent="0.2">
      <c r="A464" s="283"/>
      <c r="C464" s="106"/>
      <c r="D464" s="107"/>
    </row>
    <row r="465" spans="1:4" s="7" customFormat="1" ht="11.4" x14ac:dyDescent="0.2">
      <c r="A465" s="283"/>
      <c r="C465" s="106"/>
      <c r="D465" s="107"/>
    </row>
    <row r="466" spans="1:4" s="7" customFormat="1" ht="11.4" x14ac:dyDescent="0.2">
      <c r="A466" s="283"/>
      <c r="C466" s="106"/>
      <c r="D466" s="107"/>
    </row>
    <row r="467" spans="1:4" s="7" customFormat="1" ht="11.4" x14ac:dyDescent="0.2">
      <c r="A467" s="283"/>
      <c r="C467" s="106"/>
      <c r="D467" s="107"/>
    </row>
    <row r="468" spans="1:4" s="7" customFormat="1" ht="11.4" x14ac:dyDescent="0.2">
      <c r="A468" s="283"/>
      <c r="C468" s="106"/>
      <c r="D468" s="107"/>
    </row>
    <row r="469" spans="1:4" s="7" customFormat="1" ht="11.4" x14ac:dyDescent="0.2">
      <c r="A469" s="283"/>
      <c r="C469" s="106"/>
      <c r="D469" s="107"/>
    </row>
    <row r="470" spans="1:4" s="7" customFormat="1" ht="11.4" x14ac:dyDescent="0.2">
      <c r="A470" s="283"/>
      <c r="C470" s="106"/>
      <c r="D470" s="107"/>
    </row>
    <row r="471" spans="1:4" s="7" customFormat="1" ht="11.4" x14ac:dyDescent="0.2">
      <c r="A471" s="283"/>
      <c r="C471" s="106"/>
      <c r="D471" s="107"/>
    </row>
    <row r="472" spans="1:4" s="7" customFormat="1" ht="11.4" x14ac:dyDescent="0.2">
      <c r="A472" s="283"/>
      <c r="C472" s="106"/>
      <c r="D472" s="107"/>
    </row>
    <row r="473" spans="1:4" s="7" customFormat="1" ht="11.4" x14ac:dyDescent="0.2">
      <c r="A473" s="283"/>
      <c r="C473" s="106"/>
      <c r="D473" s="107"/>
    </row>
    <row r="474" spans="1:4" s="7" customFormat="1" ht="11.4" x14ac:dyDescent="0.2">
      <c r="A474" s="283"/>
      <c r="C474" s="106"/>
      <c r="D474" s="107"/>
    </row>
    <row r="475" spans="1:4" s="7" customFormat="1" ht="11.4" x14ac:dyDescent="0.2">
      <c r="A475" s="283"/>
      <c r="C475" s="106"/>
      <c r="D475" s="107"/>
    </row>
    <row r="476" spans="1:4" s="7" customFormat="1" ht="11.4" x14ac:dyDescent="0.2">
      <c r="A476" s="283"/>
      <c r="C476" s="106"/>
      <c r="D476" s="107"/>
    </row>
    <row r="477" spans="1:4" s="7" customFormat="1" ht="11.4" x14ac:dyDescent="0.2">
      <c r="A477" s="283"/>
      <c r="C477" s="106"/>
      <c r="D477" s="107"/>
    </row>
    <row r="478" spans="1:4" s="7" customFormat="1" ht="11.4" x14ac:dyDescent="0.2">
      <c r="A478" s="283"/>
      <c r="C478" s="106"/>
      <c r="D478" s="107"/>
    </row>
    <row r="479" spans="1:4" s="7" customFormat="1" ht="11.4" x14ac:dyDescent="0.2">
      <c r="A479" s="283"/>
      <c r="C479" s="106"/>
      <c r="D479" s="107"/>
    </row>
    <row r="480" spans="1:4" s="7" customFormat="1" ht="11.4" x14ac:dyDescent="0.2">
      <c r="A480" s="283"/>
      <c r="C480" s="106"/>
      <c r="D480" s="107"/>
    </row>
    <row r="481" spans="1:4" s="7" customFormat="1" ht="11.4" x14ac:dyDescent="0.2">
      <c r="A481" s="283"/>
      <c r="C481" s="106"/>
      <c r="D481" s="107"/>
    </row>
    <row r="482" spans="1:4" s="7" customFormat="1" ht="11.4" x14ac:dyDescent="0.2">
      <c r="A482" s="283"/>
      <c r="C482" s="106"/>
      <c r="D482" s="107"/>
    </row>
    <row r="483" spans="1:4" s="7" customFormat="1" ht="11.4" x14ac:dyDescent="0.2">
      <c r="A483" s="283"/>
      <c r="C483" s="106"/>
      <c r="D483" s="107"/>
    </row>
    <row r="484" spans="1:4" s="7" customFormat="1" ht="11.4" x14ac:dyDescent="0.2">
      <c r="A484" s="283"/>
      <c r="C484" s="106"/>
      <c r="D484" s="107"/>
    </row>
    <row r="485" spans="1:4" s="7" customFormat="1" ht="11.4" x14ac:dyDescent="0.2">
      <c r="A485" s="283"/>
      <c r="C485" s="106"/>
      <c r="D485" s="107"/>
    </row>
    <row r="486" spans="1:4" s="7" customFormat="1" ht="11.4" x14ac:dyDescent="0.2">
      <c r="A486" s="283"/>
      <c r="C486" s="106"/>
      <c r="D486" s="107"/>
    </row>
    <row r="487" spans="1:4" s="7" customFormat="1" ht="11.4" x14ac:dyDescent="0.2">
      <c r="A487" s="283"/>
      <c r="C487" s="106"/>
      <c r="D487" s="107"/>
    </row>
    <row r="488" spans="1:4" s="7" customFormat="1" ht="11.4" x14ac:dyDescent="0.2">
      <c r="A488" s="283"/>
      <c r="C488" s="106"/>
      <c r="D488" s="107"/>
    </row>
    <row r="489" spans="1:4" s="7" customFormat="1" ht="11.4" x14ac:dyDescent="0.2">
      <c r="A489" s="283"/>
      <c r="C489" s="106"/>
      <c r="D489" s="107"/>
    </row>
    <row r="490" spans="1:4" s="7" customFormat="1" ht="11.4" x14ac:dyDescent="0.2">
      <c r="A490" s="283"/>
      <c r="C490" s="106"/>
      <c r="D490" s="107"/>
    </row>
    <row r="491" spans="1:4" s="7" customFormat="1" ht="11.4" x14ac:dyDescent="0.2">
      <c r="A491" s="283"/>
      <c r="C491" s="106"/>
      <c r="D491" s="107"/>
    </row>
    <row r="492" spans="1:4" s="7" customFormat="1" ht="11.4" x14ac:dyDescent="0.2">
      <c r="A492" s="283"/>
      <c r="C492" s="106"/>
      <c r="D492" s="107"/>
    </row>
    <row r="493" spans="1:4" s="7" customFormat="1" ht="11.4" x14ac:dyDescent="0.2">
      <c r="A493" s="283"/>
      <c r="C493" s="106"/>
      <c r="D493" s="107"/>
    </row>
    <row r="494" spans="1:4" s="7" customFormat="1" ht="11.4" x14ac:dyDescent="0.2">
      <c r="A494" s="283"/>
      <c r="C494" s="106"/>
      <c r="D494" s="107"/>
    </row>
    <row r="495" spans="1:4" s="7" customFormat="1" ht="11.4" x14ac:dyDescent="0.2">
      <c r="A495" s="283"/>
      <c r="C495" s="106"/>
      <c r="D495" s="107"/>
    </row>
    <row r="496" spans="1:4" s="7" customFormat="1" ht="11.4" x14ac:dyDescent="0.2">
      <c r="A496" s="283"/>
      <c r="C496" s="106"/>
      <c r="D496" s="107"/>
    </row>
    <row r="497" spans="1:4" s="7" customFormat="1" ht="11.4" x14ac:dyDescent="0.2">
      <c r="A497" s="283"/>
      <c r="C497" s="106"/>
      <c r="D497" s="107"/>
    </row>
    <row r="498" spans="1:4" s="7" customFormat="1" ht="11.4" x14ac:dyDescent="0.2">
      <c r="A498" s="283"/>
      <c r="C498" s="106"/>
      <c r="D498" s="107"/>
    </row>
    <row r="499" spans="1:4" s="7" customFormat="1" ht="11.4" x14ac:dyDescent="0.2">
      <c r="A499" s="283"/>
      <c r="C499" s="106"/>
      <c r="D499" s="107"/>
    </row>
    <row r="500" spans="1:4" s="7" customFormat="1" ht="11.4" x14ac:dyDescent="0.2">
      <c r="A500" s="283"/>
      <c r="C500" s="106"/>
      <c r="D500" s="107"/>
    </row>
    <row r="501" spans="1:4" s="7" customFormat="1" ht="11.4" x14ac:dyDescent="0.2">
      <c r="A501" s="283"/>
      <c r="C501" s="106"/>
      <c r="D501" s="107"/>
    </row>
    <row r="502" spans="1:4" s="7" customFormat="1" ht="11.4" x14ac:dyDescent="0.2">
      <c r="A502" s="283"/>
      <c r="C502" s="106"/>
      <c r="D502" s="107"/>
    </row>
    <row r="503" spans="1:4" s="7" customFormat="1" ht="11.4" x14ac:dyDescent="0.2">
      <c r="A503" s="283"/>
      <c r="C503" s="106"/>
      <c r="D503" s="107"/>
    </row>
    <row r="504" spans="1:4" s="7" customFormat="1" ht="11.4" x14ac:dyDescent="0.2">
      <c r="A504" s="283"/>
      <c r="C504" s="106"/>
      <c r="D504" s="107"/>
    </row>
    <row r="505" spans="1:4" s="7" customFormat="1" ht="11.4" x14ac:dyDescent="0.2">
      <c r="A505" s="283"/>
      <c r="C505" s="106"/>
      <c r="D505" s="107"/>
    </row>
    <row r="506" spans="1:4" s="7" customFormat="1" ht="11.4" x14ac:dyDescent="0.2">
      <c r="A506" s="283"/>
      <c r="C506" s="106"/>
      <c r="D506" s="107"/>
    </row>
    <row r="507" spans="1:4" s="7" customFormat="1" ht="11.4" x14ac:dyDescent="0.2">
      <c r="A507" s="283"/>
      <c r="C507" s="106"/>
      <c r="D507" s="107"/>
    </row>
    <row r="508" spans="1:4" s="7" customFormat="1" ht="11.4" x14ac:dyDescent="0.2">
      <c r="A508" s="283"/>
      <c r="C508" s="106"/>
      <c r="D508" s="107"/>
    </row>
    <row r="509" spans="1:4" s="7" customFormat="1" ht="11.4" x14ac:dyDescent="0.2">
      <c r="A509" s="283"/>
      <c r="C509" s="106"/>
      <c r="D509" s="107"/>
    </row>
    <row r="510" spans="1:4" s="7" customFormat="1" ht="11.4" x14ac:dyDescent="0.2">
      <c r="A510" s="283"/>
      <c r="C510" s="106"/>
      <c r="D510" s="107"/>
    </row>
    <row r="511" spans="1:4" s="7" customFormat="1" ht="11.4" x14ac:dyDescent="0.2">
      <c r="A511" s="283"/>
      <c r="C511" s="106"/>
      <c r="D511" s="107"/>
    </row>
    <row r="512" spans="1:4" s="7" customFormat="1" ht="11.4" x14ac:dyDescent="0.2">
      <c r="A512" s="283"/>
      <c r="C512" s="106"/>
      <c r="D512" s="107"/>
    </row>
    <row r="513" spans="1:4" s="7" customFormat="1" ht="11.4" x14ac:dyDescent="0.2">
      <c r="A513" s="283"/>
      <c r="C513" s="106"/>
      <c r="D513" s="107"/>
    </row>
    <row r="514" spans="1:4" s="7" customFormat="1" ht="11.4" x14ac:dyDescent="0.2">
      <c r="A514" s="283"/>
      <c r="C514" s="106"/>
      <c r="D514" s="107"/>
    </row>
    <row r="515" spans="1:4" s="7" customFormat="1" ht="11.4" x14ac:dyDescent="0.2">
      <c r="A515" s="283"/>
      <c r="C515" s="106"/>
      <c r="D515" s="107"/>
    </row>
    <row r="516" spans="1:4" s="7" customFormat="1" ht="11.4" x14ac:dyDescent="0.2">
      <c r="A516" s="283"/>
      <c r="C516" s="106"/>
      <c r="D516" s="107"/>
    </row>
    <row r="517" spans="1:4" s="7" customFormat="1" ht="11.4" x14ac:dyDescent="0.2">
      <c r="A517" s="283"/>
      <c r="C517" s="106"/>
      <c r="D517" s="107"/>
    </row>
    <row r="518" spans="1:4" s="7" customFormat="1" ht="11.4" x14ac:dyDescent="0.2">
      <c r="A518" s="283"/>
      <c r="C518" s="106"/>
      <c r="D518" s="107"/>
    </row>
    <row r="519" spans="1:4" s="7" customFormat="1" ht="11.4" x14ac:dyDescent="0.2">
      <c r="A519" s="283"/>
      <c r="C519" s="106"/>
      <c r="D519" s="107"/>
    </row>
    <row r="520" spans="1:4" s="7" customFormat="1" ht="11.4" x14ac:dyDescent="0.2">
      <c r="A520" s="283"/>
      <c r="C520" s="106"/>
      <c r="D520" s="107"/>
    </row>
    <row r="521" spans="1:4" s="7" customFormat="1" ht="11.4" x14ac:dyDescent="0.2">
      <c r="A521" s="283"/>
      <c r="C521" s="106"/>
      <c r="D521" s="107"/>
    </row>
    <row r="522" spans="1:4" s="7" customFormat="1" ht="11.4" x14ac:dyDescent="0.2">
      <c r="A522" s="283"/>
      <c r="C522" s="106"/>
      <c r="D522" s="107"/>
    </row>
    <row r="523" spans="1:4" s="7" customFormat="1" ht="11.4" x14ac:dyDescent="0.2">
      <c r="A523" s="283"/>
      <c r="C523" s="106"/>
      <c r="D523" s="107"/>
    </row>
    <row r="524" spans="1:4" s="7" customFormat="1" ht="11.4" x14ac:dyDescent="0.2">
      <c r="A524" s="283"/>
      <c r="C524" s="106"/>
      <c r="D524" s="107"/>
    </row>
    <row r="525" spans="1:4" s="7" customFormat="1" ht="11.4" x14ac:dyDescent="0.2">
      <c r="A525" s="283"/>
      <c r="C525" s="106"/>
      <c r="D525" s="107"/>
    </row>
    <row r="526" spans="1:4" s="7" customFormat="1" ht="11.4" x14ac:dyDescent="0.2">
      <c r="A526" s="283"/>
      <c r="C526" s="106"/>
      <c r="D526" s="107"/>
    </row>
    <row r="527" spans="1:4" s="7" customFormat="1" ht="11.4" x14ac:dyDescent="0.2">
      <c r="A527" s="283"/>
      <c r="C527" s="106"/>
      <c r="D527" s="107"/>
    </row>
    <row r="528" spans="1:4" s="7" customFormat="1" ht="11.4" x14ac:dyDescent="0.2">
      <c r="A528" s="283"/>
      <c r="C528" s="106"/>
      <c r="D528" s="107"/>
    </row>
    <row r="529" spans="1:4" s="7" customFormat="1" ht="11.4" x14ac:dyDescent="0.2">
      <c r="A529" s="283"/>
      <c r="C529" s="106"/>
      <c r="D529" s="107"/>
    </row>
    <row r="530" spans="1:4" s="7" customFormat="1" ht="11.4" x14ac:dyDescent="0.2">
      <c r="A530" s="283"/>
      <c r="C530" s="106"/>
      <c r="D530" s="107"/>
    </row>
    <row r="531" spans="1:4" s="7" customFormat="1" ht="11.4" x14ac:dyDescent="0.2">
      <c r="A531" s="283"/>
      <c r="C531" s="106"/>
      <c r="D531" s="107"/>
    </row>
    <row r="532" spans="1:4" s="7" customFormat="1" ht="11.4" x14ac:dyDescent="0.2">
      <c r="A532" s="283"/>
      <c r="C532" s="106"/>
      <c r="D532" s="107"/>
    </row>
    <row r="533" spans="1:4" s="7" customFormat="1" ht="11.4" x14ac:dyDescent="0.2">
      <c r="A533" s="283"/>
      <c r="C533" s="106"/>
      <c r="D533" s="107"/>
    </row>
    <row r="534" spans="1:4" s="7" customFormat="1" ht="11.4" x14ac:dyDescent="0.2">
      <c r="A534" s="283"/>
      <c r="C534" s="106"/>
      <c r="D534" s="107"/>
    </row>
    <row r="535" spans="1:4" s="7" customFormat="1" ht="11.4" x14ac:dyDescent="0.2">
      <c r="A535" s="283"/>
      <c r="C535" s="106"/>
      <c r="D535" s="107"/>
    </row>
    <row r="536" spans="1:4" s="7" customFormat="1" ht="11.4" x14ac:dyDescent="0.2">
      <c r="A536" s="283"/>
      <c r="C536" s="106"/>
      <c r="D536" s="107"/>
    </row>
    <row r="537" spans="1:4" s="7" customFormat="1" ht="11.4" x14ac:dyDescent="0.2">
      <c r="A537" s="283"/>
      <c r="C537" s="106"/>
      <c r="D537" s="107"/>
    </row>
    <row r="538" spans="1:4" s="7" customFormat="1" ht="11.4" x14ac:dyDescent="0.2">
      <c r="A538" s="283"/>
      <c r="C538" s="106"/>
      <c r="D538" s="107"/>
    </row>
    <row r="539" spans="1:4" s="7" customFormat="1" ht="11.4" x14ac:dyDescent="0.2">
      <c r="A539" s="283"/>
      <c r="C539" s="106"/>
      <c r="D539" s="107"/>
    </row>
    <row r="540" spans="1:4" s="7" customFormat="1" ht="11.4" x14ac:dyDescent="0.2">
      <c r="A540" s="283"/>
      <c r="C540" s="106"/>
      <c r="D540" s="107"/>
    </row>
    <row r="541" spans="1:4" s="7" customFormat="1" ht="11.4" x14ac:dyDescent="0.2">
      <c r="A541" s="283"/>
      <c r="C541" s="106"/>
      <c r="D541" s="107"/>
    </row>
    <row r="542" spans="1:4" s="7" customFormat="1" ht="11.4" x14ac:dyDescent="0.2">
      <c r="A542" s="283"/>
      <c r="C542" s="106"/>
      <c r="D542" s="107"/>
    </row>
    <row r="543" spans="1:4" s="7" customFormat="1" ht="11.4" x14ac:dyDescent="0.2">
      <c r="A543" s="283"/>
      <c r="C543" s="106"/>
      <c r="D543" s="107"/>
    </row>
    <row r="544" spans="1:4" s="7" customFormat="1" ht="11.4" x14ac:dyDescent="0.2">
      <c r="A544" s="283"/>
      <c r="C544" s="106"/>
      <c r="D544" s="107"/>
    </row>
    <row r="545" spans="1:4" s="7" customFormat="1" ht="11.4" x14ac:dyDescent="0.2">
      <c r="A545" s="283"/>
      <c r="C545" s="106"/>
      <c r="D545" s="107"/>
    </row>
    <row r="546" spans="1:4" s="7" customFormat="1" ht="11.4" x14ac:dyDescent="0.2">
      <c r="A546" s="283"/>
      <c r="C546" s="106"/>
      <c r="D546" s="107"/>
    </row>
    <row r="547" spans="1:4" s="7" customFormat="1" ht="11.4" x14ac:dyDescent="0.2">
      <c r="A547" s="283"/>
      <c r="C547" s="106"/>
      <c r="D547" s="107"/>
    </row>
    <row r="548" spans="1:4" s="7" customFormat="1" ht="11.4" x14ac:dyDescent="0.2">
      <c r="A548" s="283"/>
      <c r="C548" s="106"/>
      <c r="D548" s="107"/>
    </row>
    <row r="549" spans="1:4" s="7" customFormat="1" ht="11.4" x14ac:dyDescent="0.2">
      <c r="A549" s="283"/>
      <c r="C549" s="106"/>
      <c r="D549" s="107"/>
    </row>
    <row r="550" spans="1:4" s="7" customFormat="1" ht="11.4" x14ac:dyDescent="0.2">
      <c r="A550" s="283"/>
      <c r="C550" s="106"/>
      <c r="D550" s="107"/>
    </row>
    <row r="551" spans="1:4" s="7" customFormat="1" ht="11.4" x14ac:dyDescent="0.2">
      <c r="A551" s="283"/>
      <c r="C551" s="106"/>
      <c r="D551" s="107"/>
    </row>
    <row r="552" spans="1:4" s="7" customFormat="1" ht="11.4" x14ac:dyDescent="0.2">
      <c r="A552" s="283"/>
      <c r="C552" s="106"/>
      <c r="D552" s="107"/>
    </row>
    <row r="553" spans="1:4" s="7" customFormat="1" ht="11.4" x14ac:dyDescent="0.2">
      <c r="A553" s="283"/>
      <c r="C553" s="106"/>
      <c r="D553" s="107"/>
    </row>
    <row r="554" spans="1:4" s="7" customFormat="1" ht="11.4" x14ac:dyDescent="0.2">
      <c r="A554" s="283"/>
      <c r="C554" s="106"/>
      <c r="D554" s="107"/>
    </row>
    <row r="555" spans="1:4" s="7" customFormat="1" ht="11.4" x14ac:dyDescent="0.2">
      <c r="A555" s="283"/>
      <c r="C555" s="106"/>
      <c r="D555" s="107"/>
    </row>
    <row r="556" spans="1:4" s="7" customFormat="1" ht="11.4" x14ac:dyDescent="0.2">
      <c r="A556" s="283"/>
      <c r="C556" s="106"/>
      <c r="D556" s="107"/>
    </row>
    <row r="557" spans="1:4" s="7" customFormat="1" ht="11.4" x14ac:dyDescent="0.2">
      <c r="A557" s="283"/>
      <c r="C557" s="106"/>
      <c r="D557" s="107"/>
    </row>
    <row r="558" spans="1:4" s="7" customFormat="1" ht="11.4" x14ac:dyDescent="0.2">
      <c r="A558" s="283"/>
      <c r="C558" s="106"/>
      <c r="D558" s="107"/>
    </row>
    <row r="559" spans="1:4" s="7" customFormat="1" ht="11.4" x14ac:dyDescent="0.2">
      <c r="A559" s="283"/>
      <c r="C559" s="106"/>
      <c r="D559" s="107"/>
    </row>
    <row r="560" spans="1:4" s="7" customFormat="1" ht="11.4" x14ac:dyDescent="0.2">
      <c r="A560" s="283"/>
      <c r="C560" s="106"/>
      <c r="D560" s="107"/>
    </row>
    <row r="561" spans="1:4" s="7" customFormat="1" ht="11.4" x14ac:dyDescent="0.2">
      <c r="A561" s="283"/>
      <c r="C561" s="106"/>
      <c r="D561" s="107"/>
    </row>
    <row r="562" spans="1:4" s="7" customFormat="1" ht="11.4" x14ac:dyDescent="0.2">
      <c r="A562" s="283"/>
      <c r="C562" s="106"/>
      <c r="D562" s="107"/>
    </row>
    <row r="563" spans="1:4" s="7" customFormat="1" ht="11.4" x14ac:dyDescent="0.2">
      <c r="A563" s="283"/>
      <c r="C563" s="106"/>
      <c r="D563" s="107"/>
    </row>
    <row r="564" spans="1:4" s="7" customFormat="1" ht="11.4" x14ac:dyDescent="0.2">
      <c r="A564" s="283"/>
      <c r="C564" s="106"/>
      <c r="D564" s="107"/>
    </row>
    <row r="565" spans="1:4" s="7" customFormat="1" ht="11.4" x14ac:dyDescent="0.2">
      <c r="A565" s="283"/>
      <c r="C565" s="106"/>
      <c r="D565" s="107"/>
    </row>
    <row r="566" spans="1:4" s="7" customFormat="1" ht="11.4" x14ac:dyDescent="0.2">
      <c r="A566" s="283"/>
      <c r="C566" s="106"/>
      <c r="D566" s="107"/>
    </row>
    <row r="567" spans="1:4" s="7" customFormat="1" ht="11.4" x14ac:dyDescent="0.2">
      <c r="A567" s="283"/>
      <c r="C567" s="106"/>
      <c r="D567" s="107"/>
    </row>
    <row r="568" spans="1:4" s="7" customFormat="1" ht="11.4" x14ac:dyDescent="0.2">
      <c r="A568" s="283"/>
      <c r="C568" s="106"/>
      <c r="D568" s="107"/>
    </row>
    <row r="569" spans="1:4" s="7" customFormat="1" ht="11.4" x14ac:dyDescent="0.2">
      <c r="A569" s="283"/>
      <c r="C569" s="106"/>
      <c r="D569" s="107"/>
    </row>
    <row r="570" spans="1:4" s="7" customFormat="1" ht="11.4" x14ac:dyDescent="0.2">
      <c r="A570" s="283"/>
      <c r="C570" s="106"/>
      <c r="D570" s="107"/>
    </row>
    <row r="571" spans="1:4" s="7" customFormat="1" ht="11.4" x14ac:dyDescent="0.2">
      <c r="A571" s="283"/>
      <c r="C571" s="106"/>
      <c r="D571" s="107"/>
    </row>
    <row r="572" spans="1:4" s="7" customFormat="1" ht="11.4" x14ac:dyDescent="0.2">
      <c r="A572" s="283"/>
      <c r="C572" s="106"/>
      <c r="D572" s="107"/>
    </row>
    <row r="573" spans="1:4" s="7" customFormat="1" ht="11.4" x14ac:dyDescent="0.2">
      <c r="A573" s="283"/>
      <c r="C573" s="106"/>
      <c r="D573" s="107"/>
    </row>
    <row r="574" spans="1:4" s="7" customFormat="1" ht="11.4" x14ac:dyDescent="0.2">
      <c r="A574" s="283"/>
      <c r="C574" s="106"/>
      <c r="D574" s="107"/>
    </row>
    <row r="575" spans="1:4" s="7" customFormat="1" ht="11.4" x14ac:dyDescent="0.2">
      <c r="A575" s="283"/>
      <c r="C575" s="106"/>
      <c r="D575" s="107"/>
    </row>
    <row r="576" spans="1:4" s="7" customFormat="1" ht="11.4" x14ac:dyDescent="0.2">
      <c r="A576" s="283"/>
      <c r="C576" s="106"/>
      <c r="D576" s="107"/>
    </row>
    <row r="577" spans="1:4" s="7" customFormat="1" ht="11.4" x14ac:dyDescent="0.2">
      <c r="A577" s="283"/>
      <c r="C577" s="106"/>
      <c r="D577" s="107"/>
    </row>
    <row r="578" spans="1:4" s="7" customFormat="1" ht="11.4" x14ac:dyDescent="0.2">
      <c r="A578" s="283"/>
      <c r="C578" s="106"/>
      <c r="D578" s="107"/>
    </row>
    <row r="579" spans="1:4" s="7" customFormat="1" ht="11.4" x14ac:dyDescent="0.2">
      <c r="A579" s="283"/>
      <c r="C579" s="106"/>
      <c r="D579" s="107"/>
    </row>
    <row r="580" spans="1:4" s="7" customFormat="1" ht="11.4" x14ac:dyDescent="0.2">
      <c r="A580" s="283"/>
      <c r="C580" s="106"/>
      <c r="D580" s="107"/>
    </row>
    <row r="581" spans="1:4" s="7" customFormat="1" ht="11.4" x14ac:dyDescent="0.2">
      <c r="A581" s="283"/>
      <c r="C581" s="106"/>
      <c r="D581" s="107"/>
    </row>
    <row r="582" spans="1:4" s="7" customFormat="1" ht="11.4" x14ac:dyDescent="0.2">
      <c r="A582" s="283"/>
      <c r="C582" s="106"/>
      <c r="D582" s="107"/>
    </row>
    <row r="583" spans="1:4" s="7" customFormat="1" ht="11.4" x14ac:dyDescent="0.2">
      <c r="A583" s="283"/>
      <c r="C583" s="106"/>
      <c r="D583" s="107"/>
    </row>
    <row r="584" spans="1:4" s="7" customFormat="1" ht="11.4" x14ac:dyDescent="0.2">
      <c r="A584" s="283"/>
      <c r="C584" s="106"/>
      <c r="D584" s="107"/>
    </row>
    <row r="585" spans="1:4" s="7" customFormat="1" ht="11.4" x14ac:dyDescent="0.2">
      <c r="A585" s="283"/>
      <c r="C585" s="106"/>
      <c r="D585" s="107"/>
    </row>
    <row r="586" spans="1:4" s="7" customFormat="1" ht="11.4" x14ac:dyDescent="0.2">
      <c r="A586" s="283"/>
      <c r="C586" s="106"/>
      <c r="D586" s="107"/>
    </row>
    <row r="587" spans="1:4" s="7" customFormat="1" ht="11.4" x14ac:dyDescent="0.2">
      <c r="A587" s="283"/>
      <c r="C587" s="106"/>
      <c r="D587" s="107"/>
    </row>
    <row r="588" spans="1:4" s="7" customFormat="1" ht="11.4" x14ac:dyDescent="0.2">
      <c r="A588" s="283"/>
      <c r="C588" s="106"/>
      <c r="D588" s="107"/>
    </row>
    <row r="589" spans="1:4" s="7" customFormat="1" ht="11.4" x14ac:dyDescent="0.2">
      <c r="A589" s="283"/>
      <c r="C589" s="106"/>
      <c r="D589" s="107"/>
    </row>
    <row r="590" spans="1:4" s="7" customFormat="1" ht="11.4" x14ac:dyDescent="0.2">
      <c r="A590" s="283"/>
      <c r="C590" s="106"/>
      <c r="D590" s="107"/>
    </row>
    <row r="591" spans="1:4" s="7" customFormat="1" ht="11.4" x14ac:dyDescent="0.2">
      <c r="A591" s="283"/>
      <c r="C591" s="106"/>
      <c r="D591" s="107"/>
    </row>
    <row r="592" spans="1:4" s="7" customFormat="1" ht="11.4" x14ac:dyDescent="0.2">
      <c r="A592" s="283"/>
      <c r="C592" s="106"/>
      <c r="D592" s="107"/>
    </row>
    <row r="593" spans="1:4" s="7" customFormat="1" ht="11.4" x14ac:dyDescent="0.2">
      <c r="A593" s="283"/>
      <c r="C593" s="106"/>
      <c r="D593" s="107"/>
    </row>
    <row r="594" spans="1:4" s="7" customFormat="1" ht="11.4" x14ac:dyDescent="0.2">
      <c r="A594" s="283"/>
      <c r="C594" s="106"/>
      <c r="D594" s="107"/>
    </row>
    <row r="595" spans="1:4" s="7" customFormat="1" ht="11.4" x14ac:dyDescent="0.2">
      <c r="A595" s="283"/>
      <c r="C595" s="106"/>
      <c r="D595" s="107"/>
    </row>
    <row r="596" spans="1:4" s="7" customFormat="1" ht="11.4" x14ac:dyDescent="0.2">
      <c r="A596" s="283"/>
      <c r="C596" s="106"/>
      <c r="D596" s="107"/>
    </row>
    <row r="597" spans="1:4" s="7" customFormat="1" ht="11.4" x14ac:dyDescent="0.2">
      <c r="A597" s="283"/>
      <c r="C597" s="106"/>
      <c r="D597" s="107"/>
    </row>
    <row r="598" spans="1:4" s="7" customFormat="1" ht="11.4" x14ac:dyDescent="0.2">
      <c r="A598" s="283"/>
      <c r="C598" s="106"/>
      <c r="D598" s="107"/>
    </row>
    <row r="599" spans="1:4" s="7" customFormat="1" ht="11.4" x14ac:dyDescent="0.2">
      <c r="A599" s="283"/>
      <c r="C599" s="106"/>
      <c r="D599" s="107"/>
    </row>
    <row r="600" spans="1:4" s="7" customFormat="1" ht="11.4" x14ac:dyDescent="0.2">
      <c r="A600" s="283"/>
      <c r="C600" s="106"/>
      <c r="D600" s="107"/>
    </row>
    <row r="601" spans="1:4" s="7" customFormat="1" ht="11.4" x14ac:dyDescent="0.2">
      <c r="A601" s="283"/>
      <c r="C601" s="106"/>
      <c r="D601" s="107"/>
    </row>
    <row r="602" spans="1:4" s="7" customFormat="1" ht="11.4" x14ac:dyDescent="0.2">
      <c r="A602" s="283"/>
      <c r="C602" s="106"/>
      <c r="D602" s="107"/>
    </row>
    <row r="603" spans="1:4" s="7" customFormat="1" ht="11.4" x14ac:dyDescent="0.2">
      <c r="A603" s="283"/>
      <c r="C603" s="106"/>
      <c r="D603" s="107"/>
    </row>
    <row r="604" spans="1:4" s="7" customFormat="1" ht="11.4" x14ac:dyDescent="0.2">
      <c r="A604" s="283"/>
      <c r="C604" s="106"/>
      <c r="D604" s="107"/>
    </row>
    <row r="605" spans="1:4" s="7" customFormat="1" ht="11.4" x14ac:dyDescent="0.2">
      <c r="A605" s="283"/>
      <c r="C605" s="106"/>
      <c r="D605" s="107"/>
    </row>
    <row r="606" spans="1:4" s="7" customFormat="1" ht="11.4" x14ac:dyDescent="0.2">
      <c r="A606" s="283"/>
      <c r="C606" s="106"/>
      <c r="D606" s="107"/>
    </row>
    <row r="607" spans="1:4" s="7" customFormat="1" ht="11.4" x14ac:dyDescent="0.2">
      <c r="A607" s="283"/>
      <c r="C607" s="106"/>
      <c r="D607" s="107"/>
    </row>
    <row r="608" spans="1:4" s="7" customFormat="1" ht="11.4" x14ac:dyDescent="0.2">
      <c r="A608" s="283"/>
      <c r="C608" s="106"/>
      <c r="D608" s="107"/>
    </row>
    <row r="609" spans="1:4" s="7" customFormat="1" ht="11.4" x14ac:dyDescent="0.2">
      <c r="A609" s="283"/>
      <c r="C609" s="106"/>
      <c r="D609" s="107"/>
    </row>
    <row r="610" spans="1:4" s="7" customFormat="1" ht="11.4" x14ac:dyDescent="0.2">
      <c r="A610" s="283"/>
      <c r="C610" s="106"/>
      <c r="D610" s="107"/>
    </row>
    <row r="611" spans="1:4" s="7" customFormat="1" ht="11.4" x14ac:dyDescent="0.2">
      <c r="A611" s="283"/>
      <c r="C611" s="106"/>
      <c r="D611" s="107"/>
    </row>
    <row r="612" spans="1:4" s="7" customFormat="1" ht="11.4" x14ac:dyDescent="0.2">
      <c r="A612" s="283"/>
      <c r="C612" s="106"/>
      <c r="D612" s="107"/>
    </row>
    <row r="613" spans="1:4" s="7" customFormat="1" ht="11.4" x14ac:dyDescent="0.2">
      <c r="A613" s="283"/>
      <c r="C613" s="106"/>
      <c r="D613" s="107"/>
    </row>
    <row r="614" spans="1:4" s="7" customFormat="1" ht="11.4" x14ac:dyDescent="0.2">
      <c r="A614" s="283"/>
      <c r="C614" s="106"/>
      <c r="D614" s="107"/>
    </row>
    <row r="615" spans="1:4" s="7" customFormat="1" ht="11.4" x14ac:dyDescent="0.2">
      <c r="A615" s="283"/>
      <c r="C615" s="106"/>
      <c r="D615" s="107"/>
    </row>
    <row r="616" spans="1:4" s="7" customFormat="1" ht="11.4" x14ac:dyDescent="0.2">
      <c r="A616" s="283"/>
      <c r="C616" s="106"/>
      <c r="D616" s="107"/>
    </row>
    <row r="617" spans="1:4" s="7" customFormat="1" ht="11.4" x14ac:dyDescent="0.2">
      <c r="A617" s="283"/>
      <c r="C617" s="106"/>
      <c r="D617" s="107"/>
    </row>
    <row r="618" spans="1:4" s="7" customFormat="1" ht="11.4" x14ac:dyDescent="0.2">
      <c r="A618" s="283"/>
      <c r="C618" s="106"/>
      <c r="D618" s="107"/>
    </row>
    <row r="619" spans="1:4" s="7" customFormat="1" ht="11.4" x14ac:dyDescent="0.2">
      <c r="A619" s="283"/>
      <c r="C619" s="106"/>
      <c r="D619" s="107"/>
    </row>
    <row r="620" spans="1:4" s="7" customFormat="1" ht="11.4" x14ac:dyDescent="0.2">
      <c r="A620" s="283"/>
      <c r="C620" s="106"/>
      <c r="D620" s="107"/>
    </row>
    <row r="621" spans="1:4" s="7" customFormat="1" ht="11.4" x14ac:dyDescent="0.2">
      <c r="A621" s="283"/>
      <c r="C621" s="106"/>
      <c r="D621" s="107"/>
    </row>
    <row r="622" spans="1:4" s="7" customFormat="1" ht="11.4" x14ac:dyDescent="0.2">
      <c r="A622" s="283"/>
      <c r="C622" s="106"/>
      <c r="D622" s="107"/>
    </row>
    <row r="623" spans="1:4" s="7" customFormat="1" ht="11.4" x14ac:dyDescent="0.2">
      <c r="A623" s="283"/>
      <c r="C623" s="106"/>
      <c r="D623" s="107"/>
    </row>
    <row r="624" spans="1:4" s="7" customFormat="1" ht="11.4" x14ac:dyDescent="0.2">
      <c r="A624" s="283"/>
      <c r="C624" s="106"/>
      <c r="D624" s="107"/>
    </row>
    <row r="625" spans="1:4" s="7" customFormat="1" ht="11.4" x14ac:dyDescent="0.2">
      <c r="A625" s="283"/>
      <c r="C625" s="106"/>
      <c r="D625" s="107"/>
    </row>
    <row r="626" spans="1:4" s="7" customFormat="1" ht="11.4" x14ac:dyDescent="0.2">
      <c r="A626" s="283"/>
      <c r="C626" s="106"/>
      <c r="D626" s="107"/>
    </row>
    <row r="627" spans="1:4" s="7" customFormat="1" ht="11.4" x14ac:dyDescent="0.2">
      <c r="A627" s="283"/>
      <c r="C627" s="106"/>
      <c r="D627" s="107"/>
    </row>
    <row r="628" spans="1:4" s="7" customFormat="1" ht="11.4" x14ac:dyDescent="0.2">
      <c r="A628" s="283"/>
      <c r="C628" s="106"/>
      <c r="D628" s="107"/>
    </row>
    <row r="629" spans="1:4" s="7" customFormat="1" ht="11.4" x14ac:dyDescent="0.2">
      <c r="A629" s="283"/>
      <c r="C629" s="106"/>
      <c r="D629" s="107"/>
    </row>
    <row r="630" spans="1:4" s="7" customFormat="1" ht="11.4" x14ac:dyDescent="0.2">
      <c r="A630" s="283"/>
      <c r="C630" s="106"/>
      <c r="D630" s="107"/>
    </row>
    <row r="631" spans="1:4" s="7" customFormat="1" ht="11.4" x14ac:dyDescent="0.2">
      <c r="A631" s="283"/>
      <c r="C631" s="106"/>
      <c r="D631" s="107"/>
    </row>
    <row r="632" spans="1:4" s="7" customFormat="1" ht="11.4" x14ac:dyDescent="0.2">
      <c r="A632" s="283"/>
      <c r="C632" s="106"/>
      <c r="D632" s="107"/>
    </row>
    <row r="633" spans="1:4" s="7" customFormat="1" ht="11.4" x14ac:dyDescent="0.2">
      <c r="A633" s="283"/>
      <c r="C633" s="106"/>
      <c r="D633" s="107"/>
    </row>
    <row r="634" spans="1:4" s="7" customFormat="1" ht="11.4" x14ac:dyDescent="0.2">
      <c r="A634" s="283"/>
      <c r="C634" s="106"/>
      <c r="D634" s="107"/>
    </row>
    <row r="635" spans="1:4" s="7" customFormat="1" ht="11.4" x14ac:dyDescent="0.2">
      <c r="A635" s="283"/>
      <c r="C635" s="106"/>
      <c r="D635" s="107"/>
    </row>
    <row r="636" spans="1:4" s="7" customFormat="1" ht="11.4" x14ac:dyDescent="0.2">
      <c r="A636" s="283"/>
      <c r="C636" s="106"/>
      <c r="D636" s="107"/>
    </row>
    <row r="637" spans="1:4" s="7" customFormat="1" ht="11.4" x14ac:dyDescent="0.2">
      <c r="A637" s="283"/>
      <c r="C637" s="106"/>
      <c r="D637" s="107"/>
    </row>
    <row r="638" spans="1:4" s="7" customFormat="1" ht="11.4" x14ac:dyDescent="0.2">
      <c r="A638" s="283"/>
      <c r="C638" s="106"/>
      <c r="D638" s="107"/>
    </row>
    <row r="639" spans="1:4" s="7" customFormat="1" ht="11.4" x14ac:dyDescent="0.2">
      <c r="A639" s="283"/>
      <c r="C639" s="106"/>
      <c r="D639" s="107"/>
    </row>
    <row r="640" spans="1:4" s="7" customFormat="1" ht="11.4" x14ac:dyDescent="0.2">
      <c r="A640" s="283"/>
      <c r="C640" s="106"/>
      <c r="D640" s="107"/>
    </row>
    <row r="641" spans="1:4" s="7" customFormat="1" ht="11.4" x14ac:dyDescent="0.2">
      <c r="A641" s="283"/>
      <c r="C641" s="106"/>
      <c r="D641" s="107"/>
    </row>
    <row r="642" spans="1:4" s="7" customFormat="1" ht="11.4" x14ac:dyDescent="0.2">
      <c r="A642" s="283"/>
      <c r="C642" s="106"/>
      <c r="D642" s="107"/>
    </row>
    <row r="643" spans="1:4" s="7" customFormat="1" ht="11.4" x14ac:dyDescent="0.2">
      <c r="A643" s="283"/>
      <c r="C643" s="106"/>
      <c r="D643" s="107"/>
    </row>
    <row r="644" spans="1:4" s="7" customFormat="1" ht="11.4" x14ac:dyDescent="0.2">
      <c r="A644" s="283"/>
      <c r="C644" s="106"/>
      <c r="D644" s="107"/>
    </row>
    <row r="645" spans="1:4" s="7" customFormat="1" ht="11.4" x14ac:dyDescent="0.2">
      <c r="A645" s="283"/>
      <c r="C645" s="106"/>
      <c r="D645" s="107"/>
    </row>
    <row r="646" spans="1:4" s="7" customFormat="1" ht="11.4" x14ac:dyDescent="0.2">
      <c r="A646" s="283"/>
      <c r="C646" s="106"/>
      <c r="D646" s="107"/>
    </row>
    <row r="647" spans="1:4" s="7" customFormat="1" ht="11.4" x14ac:dyDescent="0.2">
      <c r="A647" s="283"/>
      <c r="C647" s="106"/>
      <c r="D647" s="107"/>
    </row>
    <row r="648" spans="1:4" s="7" customFormat="1" ht="11.4" x14ac:dyDescent="0.2">
      <c r="A648" s="283"/>
      <c r="C648" s="106"/>
      <c r="D648" s="107"/>
    </row>
    <row r="649" spans="1:4" s="7" customFormat="1" ht="11.4" x14ac:dyDescent="0.2">
      <c r="A649" s="283"/>
      <c r="C649" s="106"/>
      <c r="D649" s="107"/>
    </row>
    <row r="650" spans="1:4" s="7" customFormat="1" ht="11.4" x14ac:dyDescent="0.2">
      <c r="A650" s="283"/>
      <c r="C650" s="106"/>
      <c r="D650" s="107"/>
    </row>
    <row r="651" spans="1:4" s="7" customFormat="1" ht="11.4" x14ac:dyDescent="0.2">
      <c r="A651" s="283"/>
      <c r="C651" s="106"/>
      <c r="D651" s="107"/>
    </row>
    <row r="652" spans="1:4" s="7" customFormat="1" ht="11.4" x14ac:dyDescent="0.2">
      <c r="A652" s="283"/>
      <c r="C652" s="106"/>
      <c r="D652" s="107"/>
    </row>
    <row r="653" spans="1:4" s="7" customFormat="1" ht="11.4" x14ac:dyDescent="0.2">
      <c r="A653" s="283"/>
      <c r="C653" s="106"/>
      <c r="D653" s="107"/>
    </row>
    <row r="654" spans="1:4" s="7" customFormat="1" ht="11.4" x14ac:dyDescent="0.2">
      <c r="A654" s="283"/>
      <c r="C654" s="106"/>
      <c r="D654" s="107"/>
    </row>
    <row r="655" spans="1:4" s="7" customFormat="1" ht="11.4" x14ac:dyDescent="0.2">
      <c r="A655" s="283"/>
      <c r="C655" s="106"/>
      <c r="D655" s="107"/>
    </row>
    <row r="656" spans="1:4" s="7" customFormat="1" ht="11.4" x14ac:dyDescent="0.2">
      <c r="A656" s="283"/>
      <c r="C656" s="106"/>
      <c r="D656" s="107"/>
    </row>
    <row r="657" spans="1:4" s="7" customFormat="1" ht="11.4" x14ac:dyDescent="0.2">
      <c r="A657" s="283"/>
      <c r="C657" s="106"/>
      <c r="D657" s="107"/>
    </row>
    <row r="658" spans="1:4" s="7" customFormat="1" ht="11.4" x14ac:dyDescent="0.2">
      <c r="A658" s="283"/>
      <c r="C658" s="106"/>
      <c r="D658" s="107"/>
    </row>
    <row r="659" spans="1:4" s="7" customFormat="1" ht="11.4" x14ac:dyDescent="0.2">
      <c r="A659" s="283"/>
      <c r="C659" s="106"/>
      <c r="D659" s="107"/>
    </row>
    <row r="660" spans="1:4" s="7" customFormat="1" ht="11.4" x14ac:dyDescent="0.2">
      <c r="A660" s="283"/>
      <c r="C660" s="106"/>
      <c r="D660" s="107"/>
    </row>
    <row r="661" spans="1:4" s="7" customFormat="1" ht="11.4" x14ac:dyDescent="0.2">
      <c r="A661" s="283"/>
      <c r="C661" s="106"/>
      <c r="D661" s="107"/>
    </row>
    <row r="662" spans="1:4" s="7" customFormat="1" ht="11.4" x14ac:dyDescent="0.2">
      <c r="A662" s="283"/>
      <c r="C662" s="106"/>
      <c r="D662" s="107"/>
    </row>
    <row r="663" spans="1:4" s="7" customFormat="1" ht="11.4" x14ac:dyDescent="0.2">
      <c r="A663" s="283"/>
      <c r="C663" s="106"/>
      <c r="D663" s="107"/>
    </row>
    <row r="664" spans="1:4" s="7" customFormat="1" ht="11.4" x14ac:dyDescent="0.2">
      <c r="A664" s="283"/>
      <c r="C664" s="106"/>
      <c r="D664" s="107"/>
    </row>
    <row r="665" spans="1:4" s="7" customFormat="1" ht="11.4" x14ac:dyDescent="0.2">
      <c r="A665" s="283"/>
      <c r="C665" s="106"/>
      <c r="D665" s="107"/>
    </row>
    <row r="666" spans="1:4" s="7" customFormat="1" ht="11.4" x14ac:dyDescent="0.2">
      <c r="A666" s="283"/>
      <c r="C666" s="106"/>
      <c r="D666" s="107"/>
    </row>
    <row r="667" spans="1:4" s="7" customFormat="1" ht="11.4" x14ac:dyDescent="0.2">
      <c r="A667" s="283"/>
      <c r="C667" s="106"/>
      <c r="D667" s="107"/>
    </row>
    <row r="668" spans="1:4" s="7" customFormat="1" ht="11.4" x14ac:dyDescent="0.2">
      <c r="A668" s="283"/>
      <c r="C668" s="106"/>
      <c r="D668" s="107"/>
    </row>
    <row r="669" spans="1:4" s="7" customFormat="1" ht="11.4" x14ac:dyDescent="0.2">
      <c r="A669" s="283"/>
      <c r="C669" s="106"/>
      <c r="D669" s="107"/>
    </row>
    <row r="670" spans="1:4" s="7" customFormat="1" ht="11.4" x14ac:dyDescent="0.2">
      <c r="A670" s="283"/>
      <c r="C670" s="106"/>
      <c r="D670" s="107"/>
    </row>
    <row r="671" spans="1:4" s="7" customFormat="1" ht="11.4" x14ac:dyDescent="0.2">
      <c r="A671" s="283"/>
      <c r="C671" s="106"/>
      <c r="D671" s="107"/>
    </row>
    <row r="672" spans="1:4" s="7" customFormat="1" ht="11.4" x14ac:dyDescent="0.2">
      <c r="A672" s="283"/>
      <c r="C672" s="106"/>
      <c r="D672" s="107"/>
    </row>
    <row r="673" spans="1:4" s="7" customFormat="1" ht="11.4" x14ac:dyDescent="0.2">
      <c r="A673" s="283"/>
      <c r="C673" s="106"/>
      <c r="D673" s="107"/>
    </row>
    <row r="674" spans="1:4" s="7" customFormat="1" ht="11.4" x14ac:dyDescent="0.2">
      <c r="A674" s="283"/>
      <c r="C674" s="106"/>
      <c r="D674" s="107"/>
    </row>
    <row r="675" spans="1:4" s="7" customFormat="1" ht="11.4" x14ac:dyDescent="0.2">
      <c r="A675" s="283"/>
      <c r="C675" s="106"/>
      <c r="D675" s="107"/>
    </row>
    <row r="676" spans="1:4" s="7" customFormat="1" ht="11.4" x14ac:dyDescent="0.2">
      <c r="A676" s="283"/>
      <c r="C676" s="106"/>
      <c r="D676" s="107"/>
    </row>
    <row r="677" spans="1:4" s="7" customFormat="1" ht="11.4" x14ac:dyDescent="0.2">
      <c r="A677" s="283"/>
      <c r="C677" s="106"/>
      <c r="D677" s="107"/>
    </row>
    <row r="678" spans="1:4" s="7" customFormat="1" ht="11.4" x14ac:dyDescent="0.2">
      <c r="A678" s="283"/>
      <c r="C678" s="106"/>
      <c r="D678" s="107"/>
    </row>
    <row r="679" spans="1:4" s="7" customFormat="1" ht="11.4" x14ac:dyDescent="0.2">
      <c r="A679" s="283"/>
      <c r="C679" s="106"/>
      <c r="D679" s="107"/>
    </row>
    <row r="680" spans="1:4" s="7" customFormat="1" ht="11.4" x14ac:dyDescent="0.2">
      <c r="A680" s="283"/>
      <c r="C680" s="106"/>
      <c r="D680" s="107"/>
    </row>
    <row r="681" spans="1:4" s="7" customFormat="1" ht="11.4" x14ac:dyDescent="0.2">
      <c r="A681" s="283"/>
      <c r="C681" s="106"/>
      <c r="D681" s="107"/>
    </row>
    <row r="682" spans="1:4" s="7" customFormat="1" ht="11.4" x14ac:dyDescent="0.2">
      <c r="A682" s="283"/>
      <c r="C682" s="106"/>
      <c r="D682" s="107"/>
    </row>
    <row r="683" spans="1:4" s="7" customFormat="1" ht="11.4" x14ac:dyDescent="0.2">
      <c r="A683" s="283"/>
      <c r="C683" s="106"/>
      <c r="D683" s="107"/>
    </row>
    <row r="684" spans="1:4" s="7" customFormat="1" ht="11.4" x14ac:dyDescent="0.2">
      <c r="A684" s="283"/>
      <c r="C684" s="106"/>
      <c r="D684" s="107"/>
    </row>
    <row r="685" spans="1:4" s="7" customFormat="1" ht="11.4" x14ac:dyDescent="0.2">
      <c r="A685" s="283"/>
      <c r="C685" s="106"/>
      <c r="D685" s="107"/>
    </row>
    <row r="686" spans="1:4" s="7" customFormat="1" ht="11.4" x14ac:dyDescent="0.2">
      <c r="A686" s="283"/>
      <c r="C686" s="106"/>
      <c r="D686" s="107"/>
    </row>
    <row r="687" spans="1:4" s="7" customFormat="1" ht="11.4" x14ac:dyDescent="0.2">
      <c r="A687" s="283"/>
      <c r="C687" s="106"/>
      <c r="D687" s="107"/>
    </row>
    <row r="688" spans="1:4" s="7" customFormat="1" ht="11.4" x14ac:dyDescent="0.2">
      <c r="A688" s="283"/>
      <c r="C688" s="106"/>
      <c r="D688" s="107"/>
    </row>
    <row r="689" spans="1:4" s="7" customFormat="1" ht="11.4" x14ac:dyDescent="0.2">
      <c r="A689" s="283"/>
      <c r="C689" s="106"/>
      <c r="D689" s="107"/>
    </row>
    <row r="690" spans="1:4" s="7" customFormat="1" ht="11.4" x14ac:dyDescent="0.2">
      <c r="A690" s="283"/>
      <c r="C690" s="106"/>
      <c r="D690" s="107"/>
    </row>
    <row r="691" spans="1:4" s="7" customFormat="1" ht="11.4" x14ac:dyDescent="0.2">
      <c r="A691" s="283"/>
      <c r="C691" s="106"/>
      <c r="D691" s="107"/>
    </row>
    <row r="692" spans="1:4" s="7" customFormat="1" ht="11.4" x14ac:dyDescent="0.2">
      <c r="A692" s="283"/>
      <c r="C692" s="106"/>
      <c r="D692" s="107"/>
    </row>
    <row r="693" spans="1:4" s="7" customFormat="1" ht="11.4" x14ac:dyDescent="0.2">
      <c r="A693" s="283"/>
      <c r="C693" s="106"/>
      <c r="D693" s="107"/>
    </row>
    <row r="694" spans="1:4" s="7" customFormat="1" ht="11.4" x14ac:dyDescent="0.2">
      <c r="A694" s="283"/>
      <c r="C694" s="106"/>
      <c r="D694" s="107"/>
    </row>
    <row r="695" spans="1:4" s="7" customFormat="1" ht="11.4" x14ac:dyDescent="0.2">
      <c r="A695" s="283"/>
      <c r="C695" s="106"/>
      <c r="D695" s="107"/>
    </row>
    <row r="696" spans="1:4" s="7" customFormat="1" ht="11.4" x14ac:dyDescent="0.2">
      <c r="A696" s="283"/>
      <c r="C696" s="106"/>
      <c r="D696" s="107"/>
    </row>
    <row r="697" spans="1:4" s="7" customFormat="1" ht="11.4" x14ac:dyDescent="0.2">
      <c r="A697" s="283"/>
      <c r="C697" s="106"/>
      <c r="D697" s="107"/>
    </row>
    <row r="698" spans="1:4" s="7" customFormat="1" ht="11.4" x14ac:dyDescent="0.2">
      <c r="A698" s="283"/>
      <c r="C698" s="106"/>
      <c r="D698" s="107"/>
    </row>
    <row r="699" spans="1:4" s="7" customFormat="1" ht="11.4" x14ac:dyDescent="0.2">
      <c r="A699" s="283"/>
      <c r="C699" s="106"/>
      <c r="D699" s="107"/>
    </row>
    <row r="700" spans="1:4" s="7" customFormat="1" ht="11.4" x14ac:dyDescent="0.2">
      <c r="A700" s="283"/>
      <c r="C700" s="106"/>
      <c r="D700" s="107"/>
    </row>
    <row r="701" spans="1:4" s="7" customFormat="1" ht="11.4" x14ac:dyDescent="0.2">
      <c r="A701" s="283"/>
      <c r="C701" s="106"/>
      <c r="D701" s="107"/>
    </row>
    <row r="702" spans="1:4" s="7" customFormat="1" ht="11.4" x14ac:dyDescent="0.2">
      <c r="A702" s="283"/>
      <c r="C702" s="106"/>
      <c r="D702" s="107"/>
    </row>
    <row r="703" spans="1:4" s="7" customFormat="1" ht="11.4" x14ac:dyDescent="0.2">
      <c r="A703" s="283"/>
      <c r="C703" s="106"/>
      <c r="D703" s="107"/>
    </row>
    <row r="704" spans="1:4" s="7" customFormat="1" ht="11.4" x14ac:dyDescent="0.2">
      <c r="A704" s="283"/>
      <c r="C704" s="106"/>
      <c r="D704" s="107"/>
    </row>
    <row r="705" spans="1:4" s="7" customFormat="1" ht="11.4" x14ac:dyDescent="0.2">
      <c r="A705" s="283"/>
      <c r="C705" s="106"/>
      <c r="D705" s="107"/>
    </row>
    <row r="706" spans="1:4" s="7" customFormat="1" ht="11.4" x14ac:dyDescent="0.2">
      <c r="A706" s="283"/>
      <c r="C706" s="106"/>
      <c r="D706" s="107"/>
    </row>
    <row r="707" spans="1:4" s="7" customFormat="1" ht="11.4" x14ac:dyDescent="0.2">
      <c r="A707" s="283"/>
      <c r="C707" s="106"/>
      <c r="D707" s="107"/>
    </row>
    <row r="708" spans="1:4" s="7" customFormat="1" ht="11.4" x14ac:dyDescent="0.2">
      <c r="A708" s="283"/>
      <c r="C708" s="106"/>
      <c r="D708" s="107"/>
    </row>
    <row r="709" spans="1:4" s="7" customFormat="1" ht="11.4" x14ac:dyDescent="0.2">
      <c r="A709" s="283"/>
      <c r="C709" s="106"/>
      <c r="D709" s="107"/>
    </row>
    <row r="710" spans="1:4" s="7" customFormat="1" ht="11.4" x14ac:dyDescent="0.2">
      <c r="A710" s="283"/>
      <c r="C710" s="106"/>
      <c r="D710" s="107"/>
    </row>
    <row r="711" spans="1:4" s="7" customFormat="1" ht="11.4" x14ac:dyDescent="0.2">
      <c r="A711" s="283"/>
      <c r="C711" s="106"/>
      <c r="D711" s="107"/>
    </row>
    <row r="712" spans="1:4" s="7" customFormat="1" ht="11.4" x14ac:dyDescent="0.2">
      <c r="A712" s="283"/>
      <c r="C712" s="106"/>
      <c r="D712" s="107"/>
    </row>
    <row r="713" spans="1:4" s="7" customFormat="1" ht="11.4" x14ac:dyDescent="0.2">
      <c r="A713" s="283"/>
      <c r="C713" s="106"/>
      <c r="D713" s="107"/>
    </row>
    <row r="714" spans="1:4" s="7" customFormat="1" ht="11.4" x14ac:dyDescent="0.2">
      <c r="A714" s="283"/>
      <c r="C714" s="106"/>
      <c r="D714" s="107"/>
    </row>
    <row r="715" spans="1:4" s="7" customFormat="1" ht="11.4" x14ac:dyDescent="0.2">
      <c r="A715" s="283"/>
      <c r="C715" s="106"/>
      <c r="D715" s="107"/>
    </row>
    <row r="716" spans="1:4" s="7" customFormat="1" ht="11.4" x14ac:dyDescent="0.2">
      <c r="A716" s="283"/>
      <c r="C716" s="106"/>
      <c r="D716" s="107"/>
    </row>
    <row r="717" spans="1:4" s="7" customFormat="1" ht="11.4" x14ac:dyDescent="0.2">
      <c r="A717" s="283"/>
      <c r="C717" s="106"/>
      <c r="D717" s="107"/>
    </row>
    <row r="718" spans="1:4" s="7" customFormat="1" ht="11.4" x14ac:dyDescent="0.2">
      <c r="A718" s="283"/>
      <c r="C718" s="106"/>
      <c r="D718" s="107"/>
    </row>
    <row r="719" spans="1:4" s="7" customFormat="1" ht="11.4" x14ac:dyDescent="0.2">
      <c r="A719" s="283"/>
      <c r="C719" s="106"/>
      <c r="D719" s="107"/>
    </row>
    <row r="720" spans="1:4" s="7" customFormat="1" ht="11.4" x14ac:dyDescent="0.2">
      <c r="A720" s="283"/>
      <c r="C720" s="106"/>
      <c r="D720" s="107"/>
    </row>
    <row r="721" spans="1:4" s="7" customFormat="1" ht="11.4" x14ac:dyDescent="0.2">
      <c r="A721" s="283"/>
      <c r="C721" s="106"/>
      <c r="D721" s="107"/>
    </row>
    <row r="722" spans="1:4" s="7" customFormat="1" ht="11.4" x14ac:dyDescent="0.2">
      <c r="A722" s="283"/>
      <c r="C722" s="106"/>
      <c r="D722" s="107"/>
    </row>
    <row r="723" spans="1:4" s="7" customFormat="1" ht="11.4" x14ac:dyDescent="0.2">
      <c r="A723" s="283"/>
      <c r="C723" s="106"/>
      <c r="D723" s="107"/>
    </row>
    <row r="724" spans="1:4" s="7" customFormat="1" ht="11.4" x14ac:dyDescent="0.2">
      <c r="A724" s="283"/>
      <c r="C724" s="106"/>
      <c r="D724" s="107"/>
    </row>
    <row r="725" spans="1:4" s="7" customFormat="1" ht="11.4" x14ac:dyDescent="0.2">
      <c r="A725" s="283"/>
      <c r="C725" s="106"/>
      <c r="D725" s="107"/>
    </row>
    <row r="726" spans="1:4" s="7" customFormat="1" ht="11.4" x14ac:dyDescent="0.2">
      <c r="A726" s="283"/>
      <c r="C726" s="106"/>
      <c r="D726" s="107"/>
    </row>
    <row r="727" spans="1:4" s="7" customFormat="1" ht="11.4" x14ac:dyDescent="0.2">
      <c r="A727" s="283"/>
      <c r="C727" s="106"/>
      <c r="D727" s="107"/>
    </row>
    <row r="728" spans="1:4" s="7" customFormat="1" ht="11.4" x14ac:dyDescent="0.2">
      <c r="A728" s="283"/>
      <c r="C728" s="106"/>
      <c r="D728" s="107"/>
    </row>
    <row r="729" spans="1:4" s="7" customFormat="1" ht="11.4" x14ac:dyDescent="0.2">
      <c r="A729" s="283"/>
      <c r="C729" s="106"/>
      <c r="D729" s="107"/>
    </row>
    <row r="730" spans="1:4" s="7" customFormat="1" ht="11.4" x14ac:dyDescent="0.2">
      <c r="A730" s="283"/>
      <c r="C730" s="106"/>
      <c r="D730" s="107"/>
    </row>
    <row r="731" spans="1:4" s="7" customFormat="1" ht="11.4" x14ac:dyDescent="0.2">
      <c r="A731" s="283"/>
      <c r="C731" s="106"/>
      <c r="D731" s="107"/>
    </row>
    <row r="732" spans="1:4" s="7" customFormat="1" ht="11.4" x14ac:dyDescent="0.2">
      <c r="A732" s="283"/>
      <c r="C732" s="106"/>
      <c r="D732" s="107"/>
    </row>
    <row r="733" spans="1:4" s="7" customFormat="1" ht="11.4" x14ac:dyDescent="0.2">
      <c r="A733" s="283"/>
      <c r="C733" s="106"/>
      <c r="D733" s="107"/>
    </row>
    <row r="734" spans="1:4" s="7" customFormat="1" ht="11.4" x14ac:dyDescent="0.2">
      <c r="A734" s="283"/>
      <c r="C734" s="106"/>
      <c r="D734" s="107"/>
    </row>
    <row r="735" spans="1:4" s="7" customFormat="1" ht="11.4" x14ac:dyDescent="0.2">
      <c r="A735" s="283"/>
      <c r="C735" s="106"/>
      <c r="D735" s="107"/>
    </row>
    <row r="736" spans="1:4" s="7" customFormat="1" ht="11.4" x14ac:dyDescent="0.2">
      <c r="A736" s="283"/>
      <c r="C736" s="106"/>
      <c r="D736" s="107"/>
    </row>
    <row r="737" spans="1:4" s="7" customFormat="1" ht="11.4" x14ac:dyDescent="0.2">
      <c r="A737" s="283"/>
      <c r="C737" s="106"/>
      <c r="D737" s="107"/>
    </row>
    <row r="738" spans="1:4" s="7" customFormat="1" ht="11.4" x14ac:dyDescent="0.2">
      <c r="A738" s="283"/>
      <c r="C738" s="106"/>
      <c r="D738" s="107"/>
    </row>
    <row r="739" spans="1:4" s="7" customFormat="1" ht="11.4" x14ac:dyDescent="0.2">
      <c r="A739" s="283"/>
      <c r="C739" s="106"/>
      <c r="D739" s="107"/>
    </row>
    <row r="740" spans="1:4" s="7" customFormat="1" ht="11.4" x14ac:dyDescent="0.2">
      <c r="A740" s="283"/>
      <c r="C740" s="106"/>
      <c r="D740" s="107"/>
    </row>
    <row r="741" spans="1:4" s="7" customFormat="1" ht="11.4" x14ac:dyDescent="0.2">
      <c r="A741" s="283"/>
      <c r="C741" s="106"/>
      <c r="D741" s="107"/>
    </row>
    <row r="742" spans="1:4" s="7" customFormat="1" ht="11.4" x14ac:dyDescent="0.2">
      <c r="A742" s="283"/>
      <c r="C742" s="106"/>
      <c r="D742" s="107"/>
    </row>
    <row r="743" spans="1:4" s="7" customFormat="1" ht="11.4" x14ac:dyDescent="0.2">
      <c r="A743" s="283"/>
      <c r="C743" s="106"/>
      <c r="D743" s="107"/>
    </row>
    <row r="744" spans="1:4" s="7" customFormat="1" ht="11.4" x14ac:dyDescent="0.2">
      <c r="A744" s="283"/>
      <c r="C744" s="106"/>
      <c r="D744" s="107"/>
    </row>
    <row r="745" spans="1:4" s="7" customFormat="1" ht="11.4" x14ac:dyDescent="0.2">
      <c r="A745" s="283"/>
      <c r="C745" s="106"/>
      <c r="D745" s="107"/>
    </row>
    <row r="746" spans="1:4" s="7" customFormat="1" ht="11.4" x14ac:dyDescent="0.2">
      <c r="A746" s="283"/>
      <c r="C746" s="106"/>
      <c r="D746" s="107"/>
    </row>
    <row r="747" spans="1:4" s="7" customFormat="1" ht="11.4" x14ac:dyDescent="0.2">
      <c r="A747" s="283"/>
      <c r="C747" s="106"/>
      <c r="D747" s="107"/>
    </row>
    <row r="748" spans="1:4" s="7" customFormat="1" ht="11.4" x14ac:dyDescent="0.2">
      <c r="A748" s="283"/>
      <c r="C748" s="106"/>
      <c r="D748" s="107"/>
    </row>
    <row r="749" spans="1:4" s="7" customFormat="1" ht="11.4" x14ac:dyDescent="0.2">
      <c r="A749" s="283"/>
      <c r="C749" s="106"/>
      <c r="D749" s="107"/>
    </row>
    <row r="750" spans="1:4" s="7" customFormat="1" ht="11.4" x14ac:dyDescent="0.2">
      <c r="A750" s="283"/>
      <c r="C750" s="106"/>
      <c r="D750" s="107"/>
    </row>
    <row r="751" spans="1:4" s="7" customFormat="1" ht="11.4" x14ac:dyDescent="0.2">
      <c r="A751" s="283"/>
      <c r="C751" s="106"/>
      <c r="D751" s="107"/>
    </row>
    <row r="752" spans="1:4" s="7" customFormat="1" ht="11.4" x14ac:dyDescent="0.2">
      <c r="A752" s="283"/>
      <c r="C752" s="106"/>
      <c r="D752" s="107"/>
    </row>
    <row r="753" spans="1:4" s="7" customFormat="1" ht="11.4" x14ac:dyDescent="0.2">
      <c r="A753" s="283"/>
      <c r="C753" s="106"/>
      <c r="D753" s="107"/>
    </row>
    <row r="754" spans="1:4" s="7" customFormat="1" ht="11.4" x14ac:dyDescent="0.2">
      <c r="A754" s="283"/>
      <c r="C754" s="106"/>
      <c r="D754" s="107"/>
    </row>
    <row r="755" spans="1:4" s="7" customFormat="1" ht="11.4" x14ac:dyDescent="0.2">
      <c r="A755" s="283"/>
      <c r="C755" s="106"/>
      <c r="D755" s="107"/>
    </row>
    <row r="756" spans="1:4" s="7" customFormat="1" ht="11.4" x14ac:dyDescent="0.2">
      <c r="A756" s="283"/>
      <c r="C756" s="106"/>
      <c r="D756" s="107"/>
    </row>
    <row r="757" spans="1:4" s="7" customFormat="1" ht="11.4" x14ac:dyDescent="0.2">
      <c r="A757" s="283"/>
      <c r="C757" s="106"/>
      <c r="D757" s="107"/>
    </row>
    <row r="758" spans="1:4" s="7" customFormat="1" ht="11.4" x14ac:dyDescent="0.2">
      <c r="A758" s="283"/>
      <c r="C758" s="106"/>
      <c r="D758" s="107"/>
    </row>
    <row r="759" spans="1:4" s="7" customFormat="1" ht="11.4" x14ac:dyDescent="0.2">
      <c r="A759" s="283"/>
      <c r="C759" s="106"/>
      <c r="D759" s="107"/>
    </row>
    <row r="760" spans="1:4" s="7" customFormat="1" ht="11.4" x14ac:dyDescent="0.2">
      <c r="A760" s="283"/>
      <c r="C760" s="106"/>
      <c r="D760" s="107"/>
    </row>
    <row r="761" spans="1:4" s="7" customFormat="1" ht="11.4" x14ac:dyDescent="0.2">
      <c r="A761" s="283"/>
      <c r="C761" s="106"/>
      <c r="D761" s="107"/>
    </row>
    <row r="762" spans="1:4" s="7" customFormat="1" ht="11.4" x14ac:dyDescent="0.2">
      <c r="A762" s="283"/>
      <c r="C762" s="106"/>
      <c r="D762" s="107"/>
    </row>
    <row r="763" spans="1:4" s="7" customFormat="1" ht="11.4" x14ac:dyDescent="0.2">
      <c r="A763" s="283"/>
      <c r="C763" s="106"/>
      <c r="D763" s="107"/>
    </row>
    <row r="764" spans="1:4" s="7" customFormat="1" ht="11.4" x14ac:dyDescent="0.2">
      <c r="A764" s="283"/>
      <c r="C764" s="106"/>
      <c r="D764" s="107"/>
    </row>
    <row r="765" spans="1:4" s="7" customFormat="1" ht="11.4" x14ac:dyDescent="0.2">
      <c r="A765" s="283"/>
      <c r="C765" s="106"/>
      <c r="D765" s="107"/>
    </row>
    <row r="766" spans="1:4" s="7" customFormat="1" ht="11.4" x14ac:dyDescent="0.2">
      <c r="A766" s="283"/>
      <c r="C766" s="106"/>
      <c r="D766" s="107"/>
    </row>
    <row r="767" spans="1:4" s="7" customFormat="1" ht="11.4" x14ac:dyDescent="0.2">
      <c r="A767" s="283"/>
      <c r="C767" s="106"/>
      <c r="D767" s="107"/>
    </row>
    <row r="768" spans="1:4" s="7" customFormat="1" ht="11.4" x14ac:dyDescent="0.2">
      <c r="A768" s="283"/>
      <c r="C768" s="106"/>
      <c r="D768" s="107"/>
    </row>
    <row r="769" spans="1:4" s="7" customFormat="1" ht="11.4" x14ac:dyDescent="0.2">
      <c r="A769" s="283"/>
      <c r="C769" s="106"/>
      <c r="D769" s="107"/>
    </row>
    <row r="770" spans="1:4" s="7" customFormat="1" ht="11.4" x14ac:dyDescent="0.2">
      <c r="A770" s="283"/>
      <c r="C770" s="106"/>
      <c r="D770" s="107"/>
    </row>
    <row r="771" spans="1:4" s="7" customFormat="1" ht="11.4" x14ac:dyDescent="0.2">
      <c r="A771" s="283"/>
      <c r="C771" s="106"/>
      <c r="D771" s="107"/>
    </row>
    <row r="772" spans="1:4" s="7" customFormat="1" ht="11.4" x14ac:dyDescent="0.2">
      <c r="A772" s="283"/>
      <c r="C772" s="106"/>
      <c r="D772" s="107"/>
    </row>
    <row r="773" spans="1:4" s="7" customFormat="1" ht="11.4" x14ac:dyDescent="0.2">
      <c r="A773" s="283"/>
      <c r="C773" s="106"/>
      <c r="D773" s="107"/>
    </row>
    <row r="774" spans="1:4" s="7" customFormat="1" ht="11.4" x14ac:dyDescent="0.2">
      <c r="A774" s="283"/>
      <c r="C774" s="106"/>
      <c r="D774" s="107"/>
    </row>
    <row r="775" spans="1:4" s="7" customFormat="1" ht="11.4" x14ac:dyDescent="0.2">
      <c r="A775" s="283"/>
      <c r="C775" s="106"/>
      <c r="D775" s="107"/>
    </row>
    <row r="776" spans="1:4" s="7" customFormat="1" ht="11.4" x14ac:dyDescent="0.2">
      <c r="A776" s="283"/>
      <c r="C776" s="106"/>
      <c r="D776" s="107"/>
    </row>
    <row r="777" spans="1:4" s="7" customFormat="1" ht="11.4" x14ac:dyDescent="0.2">
      <c r="A777" s="283"/>
      <c r="C777" s="106"/>
      <c r="D777" s="107"/>
    </row>
    <row r="778" spans="1:4" s="7" customFormat="1" ht="11.4" x14ac:dyDescent="0.2">
      <c r="A778" s="283"/>
      <c r="C778" s="106"/>
      <c r="D778" s="107"/>
    </row>
    <row r="779" spans="1:4" s="7" customFormat="1" ht="11.4" x14ac:dyDescent="0.2">
      <c r="A779" s="283"/>
      <c r="C779" s="106"/>
      <c r="D779" s="107"/>
    </row>
    <row r="780" spans="1:4" s="7" customFormat="1" ht="11.4" x14ac:dyDescent="0.2">
      <c r="A780" s="283"/>
      <c r="C780" s="106"/>
      <c r="D780" s="107"/>
    </row>
    <row r="781" spans="1:4" s="7" customFormat="1" ht="11.4" x14ac:dyDescent="0.2">
      <c r="A781" s="283"/>
      <c r="C781" s="106"/>
      <c r="D781" s="107"/>
    </row>
    <row r="782" spans="1:4" s="7" customFormat="1" ht="11.4" x14ac:dyDescent="0.2">
      <c r="A782" s="283"/>
      <c r="C782" s="106"/>
      <c r="D782" s="107"/>
    </row>
    <row r="783" spans="1:4" s="7" customFormat="1" ht="11.4" x14ac:dyDescent="0.2">
      <c r="A783" s="283"/>
      <c r="C783" s="106"/>
      <c r="D783" s="107"/>
    </row>
    <row r="784" spans="1:4" s="7" customFormat="1" ht="11.4" x14ac:dyDescent="0.2">
      <c r="A784" s="283"/>
      <c r="C784" s="106"/>
      <c r="D784" s="107"/>
    </row>
    <row r="785" spans="1:4" s="7" customFormat="1" ht="11.4" x14ac:dyDescent="0.2">
      <c r="A785" s="283"/>
      <c r="C785" s="106"/>
      <c r="D785" s="107"/>
    </row>
    <row r="786" spans="1:4" s="7" customFormat="1" ht="11.4" x14ac:dyDescent="0.2">
      <c r="A786" s="283"/>
      <c r="C786" s="106"/>
      <c r="D786" s="107"/>
    </row>
    <row r="787" spans="1:4" s="7" customFormat="1" ht="11.4" x14ac:dyDescent="0.2">
      <c r="A787" s="283"/>
      <c r="C787" s="106"/>
      <c r="D787" s="107"/>
    </row>
    <row r="788" spans="1:4" s="7" customFormat="1" ht="11.4" x14ac:dyDescent="0.2">
      <c r="A788" s="283"/>
      <c r="C788" s="106"/>
      <c r="D788" s="107"/>
    </row>
    <row r="789" spans="1:4" s="7" customFormat="1" ht="11.4" x14ac:dyDescent="0.2">
      <c r="A789" s="283"/>
      <c r="C789" s="106"/>
      <c r="D789" s="107"/>
    </row>
    <row r="790" spans="1:4" s="7" customFormat="1" ht="11.4" x14ac:dyDescent="0.2">
      <c r="A790" s="283"/>
      <c r="C790" s="106"/>
      <c r="D790" s="107"/>
    </row>
    <row r="791" spans="1:4" s="7" customFormat="1" ht="11.4" x14ac:dyDescent="0.2">
      <c r="A791" s="283"/>
      <c r="C791" s="106"/>
      <c r="D791" s="107"/>
    </row>
    <row r="792" spans="1:4" s="7" customFormat="1" ht="11.4" x14ac:dyDescent="0.2">
      <c r="A792" s="283"/>
      <c r="C792" s="106"/>
      <c r="D792" s="107"/>
    </row>
    <row r="793" spans="1:4" s="7" customFormat="1" ht="11.4" x14ac:dyDescent="0.2">
      <c r="A793" s="283"/>
      <c r="C793" s="106"/>
      <c r="D793" s="107"/>
    </row>
    <row r="794" spans="1:4" s="7" customFormat="1" ht="11.4" x14ac:dyDescent="0.2">
      <c r="A794" s="283"/>
      <c r="C794" s="106"/>
      <c r="D794" s="107"/>
    </row>
    <row r="795" spans="1:4" s="7" customFormat="1" ht="11.4" x14ac:dyDescent="0.2">
      <c r="A795" s="283"/>
      <c r="C795" s="106"/>
      <c r="D795" s="107"/>
    </row>
    <row r="796" spans="1:4" s="7" customFormat="1" ht="11.4" x14ac:dyDescent="0.2">
      <c r="A796" s="283"/>
      <c r="C796" s="106"/>
      <c r="D796" s="107"/>
    </row>
    <row r="797" spans="1:4" s="7" customFormat="1" ht="11.4" x14ac:dyDescent="0.2">
      <c r="A797" s="283"/>
      <c r="C797" s="106"/>
      <c r="D797" s="107"/>
    </row>
    <row r="798" spans="1:4" s="7" customFormat="1" ht="11.4" x14ac:dyDescent="0.2">
      <c r="A798" s="283"/>
      <c r="C798" s="106"/>
      <c r="D798" s="107"/>
    </row>
    <row r="799" spans="1:4" s="7" customFormat="1" ht="11.4" x14ac:dyDescent="0.2">
      <c r="A799" s="283"/>
      <c r="C799" s="106"/>
      <c r="D799" s="107"/>
    </row>
    <row r="800" spans="1:4" s="7" customFormat="1" ht="11.4" x14ac:dyDescent="0.2">
      <c r="A800" s="283"/>
      <c r="C800" s="106"/>
      <c r="D800" s="107"/>
    </row>
    <row r="801" spans="1:4" s="7" customFormat="1" ht="11.4" x14ac:dyDescent="0.2">
      <c r="A801" s="283"/>
      <c r="C801" s="106"/>
      <c r="D801" s="107"/>
    </row>
    <row r="802" spans="1:4" s="7" customFormat="1" ht="11.4" x14ac:dyDescent="0.2">
      <c r="A802" s="283"/>
      <c r="C802" s="106"/>
      <c r="D802" s="107"/>
    </row>
    <row r="803" spans="1:4" s="7" customFormat="1" ht="11.4" x14ac:dyDescent="0.2">
      <c r="A803" s="283"/>
      <c r="C803" s="106"/>
      <c r="D803" s="107"/>
    </row>
    <row r="804" spans="1:4" s="7" customFormat="1" ht="11.4" x14ac:dyDescent="0.2">
      <c r="A804" s="283"/>
      <c r="C804" s="106"/>
      <c r="D804" s="107"/>
    </row>
    <row r="805" spans="1:4" s="7" customFormat="1" ht="11.4" x14ac:dyDescent="0.2">
      <c r="A805" s="283"/>
      <c r="C805" s="106"/>
      <c r="D805" s="107"/>
    </row>
    <row r="806" spans="1:4" s="7" customFormat="1" ht="11.4" x14ac:dyDescent="0.2">
      <c r="A806" s="283"/>
      <c r="C806" s="106"/>
      <c r="D806" s="107"/>
    </row>
    <row r="807" spans="1:4" s="7" customFormat="1" ht="11.4" x14ac:dyDescent="0.2">
      <c r="A807" s="283"/>
      <c r="C807" s="106"/>
      <c r="D807" s="107"/>
    </row>
    <row r="808" spans="1:4" s="7" customFormat="1" ht="11.4" x14ac:dyDescent="0.2">
      <c r="A808" s="283"/>
      <c r="C808" s="106"/>
      <c r="D808" s="107"/>
    </row>
    <row r="809" spans="1:4" s="7" customFormat="1" ht="11.4" x14ac:dyDescent="0.2">
      <c r="A809" s="283"/>
      <c r="C809" s="106"/>
      <c r="D809" s="107"/>
    </row>
    <row r="810" spans="1:4" s="7" customFormat="1" ht="11.4" x14ac:dyDescent="0.2">
      <c r="A810" s="283"/>
      <c r="C810" s="106"/>
      <c r="D810" s="107"/>
    </row>
    <row r="811" spans="1:4" s="7" customFormat="1" ht="11.4" x14ac:dyDescent="0.2">
      <c r="A811" s="283"/>
      <c r="C811" s="106"/>
      <c r="D811" s="107"/>
    </row>
    <row r="812" spans="1:4" s="7" customFormat="1" ht="11.4" x14ac:dyDescent="0.2">
      <c r="A812" s="283"/>
      <c r="C812" s="106"/>
      <c r="D812" s="107"/>
    </row>
    <row r="813" spans="1:4" s="7" customFormat="1" ht="11.4" x14ac:dyDescent="0.2">
      <c r="A813" s="283"/>
      <c r="C813" s="106"/>
      <c r="D813" s="107"/>
    </row>
    <row r="814" spans="1:4" s="7" customFormat="1" ht="11.4" x14ac:dyDescent="0.2">
      <c r="A814" s="283"/>
      <c r="C814" s="106"/>
      <c r="D814" s="107"/>
    </row>
    <row r="815" spans="1:4" s="7" customFormat="1" ht="11.4" x14ac:dyDescent="0.2">
      <c r="A815" s="283"/>
      <c r="C815" s="106"/>
      <c r="D815" s="107"/>
    </row>
    <row r="816" spans="1:4" s="7" customFormat="1" ht="11.4" x14ac:dyDescent="0.2">
      <c r="A816" s="283"/>
      <c r="C816" s="106"/>
      <c r="D816" s="107"/>
    </row>
    <row r="817" spans="1:4" s="7" customFormat="1" ht="11.4" x14ac:dyDescent="0.2">
      <c r="A817" s="283"/>
      <c r="C817" s="106"/>
      <c r="D817" s="107"/>
    </row>
    <row r="818" spans="1:4" s="7" customFormat="1" ht="11.4" x14ac:dyDescent="0.2">
      <c r="A818" s="283"/>
      <c r="C818" s="106"/>
      <c r="D818" s="107"/>
    </row>
    <row r="819" spans="1:4" s="7" customFormat="1" ht="11.4" x14ac:dyDescent="0.2">
      <c r="A819" s="283"/>
      <c r="C819" s="106"/>
      <c r="D819" s="107"/>
    </row>
    <row r="820" spans="1:4" s="7" customFormat="1" ht="11.4" x14ac:dyDescent="0.2">
      <c r="A820" s="283"/>
      <c r="C820" s="106"/>
      <c r="D820" s="107"/>
    </row>
    <row r="821" spans="1:4" s="7" customFormat="1" ht="11.4" x14ac:dyDescent="0.2">
      <c r="A821" s="283"/>
      <c r="C821" s="106"/>
      <c r="D821" s="107"/>
    </row>
    <row r="822" spans="1:4" s="7" customFormat="1" ht="11.4" x14ac:dyDescent="0.2">
      <c r="A822" s="283"/>
      <c r="C822" s="106"/>
      <c r="D822" s="107"/>
    </row>
    <row r="823" spans="1:4" s="7" customFormat="1" ht="11.4" x14ac:dyDescent="0.2">
      <c r="A823" s="283"/>
      <c r="C823" s="106"/>
      <c r="D823" s="107"/>
    </row>
    <row r="824" spans="1:4" s="7" customFormat="1" ht="11.4" x14ac:dyDescent="0.2">
      <c r="A824" s="283"/>
      <c r="C824" s="106"/>
      <c r="D824" s="107"/>
    </row>
    <row r="825" spans="1:4" s="7" customFormat="1" ht="11.4" x14ac:dyDescent="0.2">
      <c r="A825" s="283"/>
      <c r="C825" s="106"/>
      <c r="D825" s="107"/>
    </row>
    <row r="826" spans="1:4" s="7" customFormat="1" ht="11.4" x14ac:dyDescent="0.2">
      <c r="A826" s="283"/>
      <c r="C826" s="106"/>
      <c r="D826" s="107"/>
    </row>
    <row r="827" spans="1:4" s="7" customFormat="1" ht="11.4" x14ac:dyDescent="0.2">
      <c r="A827" s="283"/>
      <c r="C827" s="106"/>
      <c r="D827" s="107"/>
    </row>
    <row r="828" spans="1:4" s="7" customFormat="1" ht="11.4" x14ac:dyDescent="0.2">
      <c r="A828" s="283"/>
      <c r="C828" s="106"/>
      <c r="D828" s="107"/>
    </row>
    <row r="829" spans="1:4" s="7" customFormat="1" ht="11.4" x14ac:dyDescent="0.2">
      <c r="A829" s="283"/>
      <c r="C829" s="106"/>
      <c r="D829" s="107"/>
    </row>
    <row r="830" spans="1:4" s="7" customFormat="1" ht="11.4" x14ac:dyDescent="0.2">
      <c r="A830" s="283"/>
      <c r="C830" s="106"/>
      <c r="D830" s="107"/>
    </row>
    <row r="831" spans="1:4" s="7" customFormat="1" ht="11.4" x14ac:dyDescent="0.2">
      <c r="A831" s="283"/>
      <c r="C831" s="106"/>
      <c r="D831" s="107"/>
    </row>
    <row r="832" spans="1:4" s="7" customFormat="1" ht="11.4" x14ac:dyDescent="0.2">
      <c r="A832" s="283"/>
      <c r="C832" s="106"/>
      <c r="D832" s="107"/>
    </row>
    <row r="833" spans="1:4" s="7" customFormat="1" ht="11.4" x14ac:dyDescent="0.2">
      <c r="A833" s="283"/>
      <c r="C833" s="106"/>
      <c r="D833" s="107"/>
    </row>
    <row r="834" spans="1:4" s="7" customFormat="1" ht="11.4" x14ac:dyDescent="0.2">
      <c r="A834" s="283"/>
      <c r="C834" s="106"/>
      <c r="D834" s="107"/>
    </row>
    <row r="835" spans="1:4" s="7" customFormat="1" ht="11.4" x14ac:dyDescent="0.2">
      <c r="A835" s="283"/>
      <c r="C835" s="106"/>
      <c r="D835" s="107"/>
    </row>
    <row r="836" spans="1:4" s="7" customFormat="1" ht="11.4" x14ac:dyDescent="0.2">
      <c r="A836" s="283"/>
      <c r="C836" s="106"/>
      <c r="D836" s="107"/>
    </row>
    <row r="837" spans="1:4" s="7" customFormat="1" ht="11.4" x14ac:dyDescent="0.2">
      <c r="A837" s="283"/>
      <c r="C837" s="106"/>
      <c r="D837" s="107"/>
    </row>
    <row r="838" spans="1:4" s="7" customFormat="1" ht="11.4" x14ac:dyDescent="0.2">
      <c r="A838" s="283"/>
      <c r="C838" s="106"/>
      <c r="D838" s="107"/>
    </row>
    <row r="839" spans="1:4" s="7" customFormat="1" ht="11.4" x14ac:dyDescent="0.2">
      <c r="A839" s="283"/>
      <c r="C839" s="106"/>
      <c r="D839" s="107"/>
    </row>
    <row r="840" spans="1:4" s="7" customFormat="1" ht="11.4" x14ac:dyDescent="0.2">
      <c r="A840" s="283"/>
      <c r="C840" s="106"/>
      <c r="D840" s="107"/>
    </row>
    <row r="841" spans="1:4" s="7" customFormat="1" ht="11.4" x14ac:dyDescent="0.2">
      <c r="A841" s="283"/>
      <c r="C841" s="106"/>
      <c r="D841" s="107"/>
    </row>
    <row r="842" spans="1:4" s="7" customFormat="1" ht="11.4" x14ac:dyDescent="0.2">
      <c r="A842" s="283"/>
      <c r="C842" s="106"/>
      <c r="D842" s="107"/>
    </row>
    <row r="843" spans="1:4" s="7" customFormat="1" ht="11.4" x14ac:dyDescent="0.2">
      <c r="A843" s="283"/>
      <c r="C843" s="106"/>
      <c r="D843" s="107"/>
    </row>
    <row r="844" spans="1:4" s="7" customFormat="1" ht="11.4" x14ac:dyDescent="0.2">
      <c r="A844" s="283"/>
      <c r="C844" s="106"/>
      <c r="D844" s="107"/>
    </row>
    <row r="845" spans="1:4" s="7" customFormat="1" ht="11.4" x14ac:dyDescent="0.2">
      <c r="A845" s="283"/>
      <c r="C845" s="106"/>
      <c r="D845" s="107"/>
    </row>
    <row r="846" spans="1:4" s="7" customFormat="1" ht="11.4" x14ac:dyDescent="0.2">
      <c r="A846" s="283"/>
      <c r="C846" s="106"/>
      <c r="D846" s="107"/>
    </row>
    <row r="847" spans="1:4" s="7" customFormat="1" ht="11.4" x14ac:dyDescent="0.2">
      <c r="A847" s="283"/>
      <c r="C847" s="106"/>
      <c r="D847" s="107"/>
    </row>
    <row r="848" spans="1:4" s="7" customFormat="1" ht="11.4" x14ac:dyDescent="0.2">
      <c r="A848" s="283"/>
      <c r="C848" s="106"/>
      <c r="D848" s="107"/>
    </row>
    <row r="849" spans="1:4" s="7" customFormat="1" ht="11.4" x14ac:dyDescent="0.2">
      <c r="A849" s="283"/>
      <c r="C849" s="106"/>
      <c r="D849" s="107"/>
    </row>
    <row r="850" spans="1:4" s="7" customFormat="1" ht="11.4" x14ac:dyDescent="0.2">
      <c r="A850" s="283"/>
      <c r="C850" s="106"/>
      <c r="D850" s="107"/>
    </row>
    <row r="851" spans="1:4" s="7" customFormat="1" ht="11.4" x14ac:dyDescent="0.2">
      <c r="A851" s="283"/>
      <c r="C851" s="106"/>
      <c r="D851" s="107"/>
    </row>
    <row r="852" spans="1:4" s="7" customFormat="1" ht="11.4" x14ac:dyDescent="0.2">
      <c r="A852" s="283"/>
      <c r="C852" s="106"/>
      <c r="D852" s="107"/>
    </row>
    <row r="853" spans="1:4" s="7" customFormat="1" ht="11.4" x14ac:dyDescent="0.2">
      <c r="A853" s="283"/>
      <c r="C853" s="106"/>
      <c r="D853" s="107"/>
    </row>
    <row r="854" spans="1:4" s="7" customFormat="1" ht="11.4" x14ac:dyDescent="0.2">
      <c r="A854" s="283"/>
      <c r="C854" s="106"/>
      <c r="D854" s="107"/>
    </row>
    <row r="855" spans="1:4" s="7" customFormat="1" ht="11.4" x14ac:dyDescent="0.2">
      <c r="A855" s="283"/>
      <c r="C855" s="106"/>
      <c r="D855" s="107"/>
    </row>
    <row r="856" spans="1:4" s="7" customFormat="1" ht="11.4" x14ac:dyDescent="0.2">
      <c r="A856" s="283"/>
      <c r="C856" s="106"/>
      <c r="D856" s="107"/>
    </row>
    <row r="857" spans="1:4" s="7" customFormat="1" ht="11.4" x14ac:dyDescent="0.2">
      <c r="A857" s="283"/>
      <c r="C857" s="106"/>
      <c r="D857" s="107"/>
    </row>
    <row r="858" spans="1:4" s="7" customFormat="1" ht="11.4" x14ac:dyDescent="0.2">
      <c r="A858" s="283"/>
      <c r="C858" s="106"/>
      <c r="D858" s="107"/>
    </row>
    <row r="859" spans="1:4" s="7" customFormat="1" ht="11.4" x14ac:dyDescent="0.2">
      <c r="A859" s="283"/>
      <c r="C859" s="106"/>
      <c r="D859" s="107"/>
    </row>
    <row r="860" spans="1:4" s="7" customFormat="1" ht="11.4" x14ac:dyDescent="0.2">
      <c r="A860" s="283"/>
      <c r="C860" s="106"/>
      <c r="D860" s="107"/>
    </row>
    <row r="861" spans="1:4" s="7" customFormat="1" ht="11.4" x14ac:dyDescent="0.2">
      <c r="A861" s="283"/>
      <c r="C861" s="106"/>
      <c r="D861" s="107"/>
    </row>
    <row r="862" spans="1:4" s="7" customFormat="1" ht="11.4" x14ac:dyDescent="0.2">
      <c r="A862" s="283"/>
      <c r="C862" s="106"/>
      <c r="D862" s="107"/>
    </row>
    <row r="863" spans="1:4" s="7" customFormat="1" ht="11.4" x14ac:dyDescent="0.2">
      <c r="A863" s="283"/>
      <c r="C863" s="106"/>
      <c r="D863" s="107"/>
    </row>
    <row r="864" spans="1:4" s="7" customFormat="1" ht="11.4" x14ac:dyDescent="0.2">
      <c r="A864" s="283"/>
      <c r="C864" s="106"/>
      <c r="D864" s="107"/>
    </row>
    <row r="865" spans="1:4" s="7" customFormat="1" ht="11.4" x14ac:dyDescent="0.2">
      <c r="A865" s="283"/>
      <c r="C865" s="106"/>
      <c r="D865" s="107"/>
    </row>
    <row r="866" spans="1:4" s="7" customFormat="1" ht="11.4" x14ac:dyDescent="0.2">
      <c r="A866" s="283"/>
      <c r="C866" s="106"/>
      <c r="D866" s="107"/>
    </row>
    <row r="867" spans="1:4" s="7" customFormat="1" ht="11.4" x14ac:dyDescent="0.2">
      <c r="A867" s="283"/>
      <c r="C867" s="106"/>
      <c r="D867" s="107"/>
    </row>
    <row r="868" spans="1:4" s="7" customFormat="1" ht="11.4" x14ac:dyDescent="0.2">
      <c r="A868" s="283"/>
      <c r="C868" s="106"/>
      <c r="D868" s="107"/>
    </row>
    <row r="869" spans="1:4" s="7" customFormat="1" ht="11.4" x14ac:dyDescent="0.2">
      <c r="A869" s="283"/>
      <c r="C869" s="106"/>
      <c r="D869" s="107"/>
    </row>
    <row r="870" spans="1:4" s="7" customFormat="1" ht="11.4" x14ac:dyDescent="0.2">
      <c r="A870" s="283"/>
      <c r="C870" s="106"/>
      <c r="D870" s="107"/>
    </row>
    <row r="871" spans="1:4" s="7" customFormat="1" ht="11.4" x14ac:dyDescent="0.2">
      <c r="A871" s="283"/>
      <c r="C871" s="106"/>
      <c r="D871" s="107"/>
    </row>
    <row r="872" spans="1:4" s="7" customFormat="1" ht="11.4" x14ac:dyDescent="0.2">
      <c r="A872" s="283"/>
      <c r="C872" s="106"/>
      <c r="D872" s="107"/>
    </row>
    <row r="873" spans="1:4" s="7" customFormat="1" ht="11.4" x14ac:dyDescent="0.2">
      <c r="A873" s="283"/>
      <c r="C873" s="106"/>
      <c r="D873" s="107"/>
    </row>
    <row r="874" spans="1:4" s="7" customFormat="1" ht="11.4" x14ac:dyDescent="0.2">
      <c r="A874" s="283"/>
      <c r="C874" s="106"/>
      <c r="D874" s="107"/>
    </row>
    <row r="875" spans="1:4" s="7" customFormat="1" ht="11.4" x14ac:dyDescent="0.2">
      <c r="A875" s="283"/>
      <c r="C875" s="106"/>
      <c r="D875" s="107"/>
    </row>
    <row r="876" spans="1:4" s="7" customFormat="1" ht="11.4" x14ac:dyDescent="0.2">
      <c r="A876" s="283"/>
      <c r="C876" s="106"/>
      <c r="D876" s="107"/>
    </row>
    <row r="877" spans="1:4" s="7" customFormat="1" ht="11.4" x14ac:dyDescent="0.2">
      <c r="A877" s="283"/>
      <c r="C877" s="106"/>
      <c r="D877" s="107"/>
    </row>
    <row r="878" spans="1:4" s="7" customFormat="1" ht="11.4" x14ac:dyDescent="0.2">
      <c r="A878" s="283"/>
      <c r="C878" s="106"/>
      <c r="D878" s="107"/>
    </row>
    <row r="879" spans="1:4" s="7" customFormat="1" ht="11.4" x14ac:dyDescent="0.2">
      <c r="A879" s="283"/>
      <c r="C879" s="106"/>
      <c r="D879" s="107"/>
    </row>
    <row r="880" spans="1:4" s="7" customFormat="1" ht="11.4" x14ac:dyDescent="0.2">
      <c r="A880" s="283"/>
      <c r="C880" s="106"/>
      <c r="D880" s="107"/>
    </row>
    <row r="881" spans="1:4" s="7" customFormat="1" ht="11.4" x14ac:dyDescent="0.2">
      <c r="A881" s="283"/>
      <c r="C881" s="106"/>
      <c r="D881" s="107"/>
    </row>
    <row r="882" spans="1:4" s="7" customFormat="1" ht="11.4" x14ac:dyDescent="0.2">
      <c r="A882" s="283"/>
      <c r="C882" s="106"/>
      <c r="D882" s="107"/>
    </row>
    <row r="883" spans="1:4" s="7" customFormat="1" ht="11.4" x14ac:dyDescent="0.2">
      <c r="A883" s="283"/>
      <c r="C883" s="106"/>
      <c r="D883" s="107"/>
    </row>
    <row r="884" spans="1:4" s="7" customFormat="1" ht="11.4" x14ac:dyDescent="0.2">
      <c r="A884" s="283"/>
      <c r="C884" s="106"/>
      <c r="D884" s="107"/>
    </row>
    <row r="885" spans="1:4" s="7" customFormat="1" ht="11.4" x14ac:dyDescent="0.2">
      <c r="A885" s="283"/>
      <c r="C885" s="106"/>
      <c r="D885" s="107"/>
    </row>
    <row r="886" spans="1:4" s="7" customFormat="1" ht="11.4" x14ac:dyDescent="0.2">
      <c r="A886" s="283"/>
      <c r="C886" s="106"/>
      <c r="D886" s="107"/>
    </row>
    <row r="887" spans="1:4" s="7" customFormat="1" ht="11.4" x14ac:dyDescent="0.2">
      <c r="A887" s="283"/>
      <c r="C887" s="106"/>
      <c r="D887" s="107"/>
    </row>
    <row r="888" spans="1:4" s="7" customFormat="1" ht="11.4" x14ac:dyDescent="0.2">
      <c r="A888" s="283"/>
      <c r="C888" s="106"/>
      <c r="D888" s="107"/>
    </row>
    <row r="889" spans="1:4" s="7" customFormat="1" ht="11.4" x14ac:dyDescent="0.2">
      <c r="A889" s="283"/>
      <c r="C889" s="106"/>
      <c r="D889" s="107"/>
    </row>
    <row r="890" spans="1:4" s="7" customFormat="1" ht="11.4" x14ac:dyDescent="0.2">
      <c r="A890" s="283"/>
      <c r="C890" s="106"/>
      <c r="D890" s="107"/>
    </row>
    <row r="891" spans="1:4" s="7" customFormat="1" ht="11.4" x14ac:dyDescent="0.2">
      <c r="A891" s="283"/>
      <c r="C891" s="106"/>
      <c r="D891" s="107"/>
    </row>
    <row r="892" spans="1:4" s="7" customFormat="1" ht="11.4" x14ac:dyDescent="0.2">
      <c r="A892" s="283"/>
      <c r="C892" s="106"/>
      <c r="D892" s="107"/>
    </row>
    <row r="893" spans="1:4" s="7" customFormat="1" ht="11.4" x14ac:dyDescent="0.2">
      <c r="A893" s="283"/>
      <c r="C893" s="106"/>
      <c r="D893" s="107"/>
    </row>
    <row r="894" spans="1:4" s="7" customFormat="1" ht="11.4" x14ac:dyDescent="0.2">
      <c r="A894" s="283"/>
      <c r="C894" s="106"/>
      <c r="D894" s="107"/>
    </row>
    <row r="895" spans="1:4" s="7" customFormat="1" ht="11.4" x14ac:dyDescent="0.2">
      <c r="A895" s="283"/>
      <c r="C895" s="106"/>
      <c r="D895" s="107"/>
    </row>
    <row r="896" spans="1:4" s="7" customFormat="1" ht="11.4" x14ac:dyDescent="0.2">
      <c r="A896" s="283"/>
      <c r="C896" s="106"/>
      <c r="D896" s="107"/>
    </row>
    <row r="897" spans="1:4" s="7" customFormat="1" ht="11.4" x14ac:dyDescent="0.2">
      <c r="A897" s="283"/>
      <c r="C897" s="106"/>
      <c r="D897" s="107"/>
    </row>
    <row r="898" spans="1:4" s="7" customFormat="1" ht="11.4" x14ac:dyDescent="0.2">
      <c r="A898" s="283"/>
      <c r="C898" s="106"/>
      <c r="D898" s="107"/>
    </row>
    <row r="899" spans="1:4" s="7" customFormat="1" ht="11.4" x14ac:dyDescent="0.2">
      <c r="A899" s="283"/>
      <c r="C899" s="106"/>
      <c r="D899" s="107"/>
    </row>
    <row r="900" spans="1:4" s="7" customFormat="1" ht="11.4" x14ac:dyDescent="0.2">
      <c r="A900" s="283"/>
      <c r="C900" s="106"/>
      <c r="D900" s="107"/>
    </row>
    <row r="901" spans="1:4" s="7" customFormat="1" ht="11.4" x14ac:dyDescent="0.2">
      <c r="A901" s="283"/>
      <c r="C901" s="106"/>
      <c r="D901" s="107"/>
    </row>
    <row r="902" spans="1:4" s="7" customFormat="1" ht="11.4" x14ac:dyDescent="0.2">
      <c r="A902" s="283"/>
      <c r="C902" s="106"/>
      <c r="D902" s="107"/>
    </row>
    <row r="903" spans="1:4" s="7" customFormat="1" ht="11.4" x14ac:dyDescent="0.2">
      <c r="A903" s="283"/>
      <c r="C903" s="106"/>
      <c r="D903" s="107"/>
    </row>
    <row r="904" spans="1:4" s="7" customFormat="1" ht="11.4" x14ac:dyDescent="0.2">
      <c r="A904" s="283"/>
      <c r="C904" s="106"/>
      <c r="D904" s="107"/>
    </row>
    <row r="905" spans="1:4" s="7" customFormat="1" ht="11.4" x14ac:dyDescent="0.2">
      <c r="A905" s="283"/>
      <c r="C905" s="106"/>
      <c r="D905" s="107"/>
    </row>
    <row r="906" spans="1:4" s="7" customFormat="1" ht="11.4" x14ac:dyDescent="0.2">
      <c r="A906" s="283"/>
      <c r="C906" s="106"/>
      <c r="D906" s="107"/>
    </row>
    <row r="907" spans="1:4" s="7" customFormat="1" ht="11.4" x14ac:dyDescent="0.2">
      <c r="A907" s="283"/>
      <c r="C907" s="106"/>
      <c r="D907" s="107"/>
    </row>
    <row r="908" spans="1:4" s="7" customFormat="1" ht="11.4" x14ac:dyDescent="0.2">
      <c r="A908" s="283"/>
      <c r="C908" s="106"/>
      <c r="D908" s="107"/>
    </row>
    <row r="909" spans="1:4" s="7" customFormat="1" ht="11.4" x14ac:dyDescent="0.2">
      <c r="A909" s="283"/>
      <c r="C909" s="106"/>
      <c r="D909" s="107"/>
    </row>
    <row r="910" spans="1:4" s="7" customFormat="1" ht="11.4" x14ac:dyDescent="0.2">
      <c r="A910" s="283"/>
      <c r="C910" s="106"/>
      <c r="D910" s="107"/>
    </row>
    <row r="911" spans="1:4" s="7" customFormat="1" ht="11.4" x14ac:dyDescent="0.2">
      <c r="A911" s="283"/>
      <c r="C911" s="106"/>
      <c r="D911" s="107"/>
    </row>
    <row r="912" spans="1:4" s="7" customFormat="1" ht="11.4" x14ac:dyDescent="0.2">
      <c r="A912" s="283"/>
      <c r="C912" s="106"/>
      <c r="D912" s="107"/>
    </row>
    <row r="913" spans="1:4" s="7" customFormat="1" ht="11.4" x14ac:dyDescent="0.2">
      <c r="A913" s="283"/>
      <c r="C913" s="106"/>
      <c r="D913" s="107"/>
    </row>
    <row r="914" spans="1:4" s="7" customFormat="1" ht="11.4" x14ac:dyDescent="0.2">
      <c r="A914" s="283"/>
      <c r="C914" s="106"/>
      <c r="D914" s="107"/>
    </row>
    <row r="915" spans="1:4" s="7" customFormat="1" ht="11.4" x14ac:dyDescent="0.2">
      <c r="A915" s="283"/>
      <c r="C915" s="106"/>
      <c r="D915" s="107"/>
    </row>
    <row r="916" spans="1:4" s="7" customFormat="1" ht="11.4" x14ac:dyDescent="0.2">
      <c r="A916" s="283"/>
      <c r="C916" s="106"/>
      <c r="D916" s="107"/>
    </row>
    <row r="917" spans="1:4" s="7" customFormat="1" ht="11.4" x14ac:dyDescent="0.2">
      <c r="A917" s="283"/>
      <c r="C917" s="106"/>
      <c r="D917" s="107"/>
    </row>
    <row r="918" spans="1:4" s="7" customFormat="1" ht="11.4" x14ac:dyDescent="0.2">
      <c r="A918" s="283"/>
      <c r="C918" s="106"/>
      <c r="D918" s="107"/>
    </row>
    <row r="919" spans="1:4" s="7" customFormat="1" ht="11.4" x14ac:dyDescent="0.2">
      <c r="A919" s="283"/>
      <c r="C919" s="106"/>
      <c r="D919" s="107"/>
    </row>
    <row r="920" spans="1:4" s="7" customFormat="1" ht="11.4" x14ac:dyDescent="0.2">
      <c r="A920" s="283"/>
      <c r="C920" s="106"/>
      <c r="D920" s="107"/>
    </row>
    <row r="921" spans="1:4" s="7" customFormat="1" ht="11.4" x14ac:dyDescent="0.2">
      <c r="A921" s="283"/>
      <c r="C921" s="106"/>
      <c r="D921" s="107"/>
    </row>
    <row r="922" spans="1:4" s="7" customFormat="1" ht="11.4" x14ac:dyDescent="0.2">
      <c r="A922" s="283"/>
      <c r="C922" s="106"/>
      <c r="D922" s="107"/>
    </row>
    <row r="923" spans="1:4" s="7" customFormat="1" ht="11.4" x14ac:dyDescent="0.2">
      <c r="A923" s="283"/>
      <c r="C923" s="106"/>
      <c r="D923" s="107"/>
    </row>
    <row r="924" spans="1:4" s="7" customFormat="1" ht="11.4" x14ac:dyDescent="0.2">
      <c r="A924" s="283"/>
      <c r="C924" s="106"/>
      <c r="D924" s="107"/>
    </row>
    <row r="925" spans="1:4" s="7" customFormat="1" ht="11.4" x14ac:dyDescent="0.2">
      <c r="A925" s="283"/>
      <c r="C925" s="106"/>
      <c r="D925" s="107"/>
    </row>
    <row r="926" spans="1:4" s="7" customFormat="1" ht="11.4" x14ac:dyDescent="0.2">
      <c r="A926" s="283"/>
      <c r="C926" s="106"/>
      <c r="D926" s="107"/>
    </row>
    <row r="927" spans="1:4" s="7" customFormat="1" ht="11.4" x14ac:dyDescent="0.2">
      <c r="A927" s="283"/>
      <c r="C927" s="106"/>
      <c r="D927" s="107"/>
    </row>
    <row r="928" spans="1:4" s="7" customFormat="1" ht="11.4" x14ac:dyDescent="0.2">
      <c r="A928" s="283"/>
      <c r="C928" s="106"/>
      <c r="D928" s="107"/>
    </row>
    <row r="929" spans="1:4" s="7" customFormat="1" ht="11.4" x14ac:dyDescent="0.2">
      <c r="A929" s="283"/>
      <c r="C929" s="106"/>
      <c r="D929" s="107"/>
    </row>
    <row r="930" spans="1:4" s="7" customFormat="1" ht="11.4" x14ac:dyDescent="0.2">
      <c r="A930" s="283"/>
      <c r="C930" s="106"/>
      <c r="D930" s="107"/>
    </row>
    <row r="931" spans="1:4" s="7" customFormat="1" ht="11.4" x14ac:dyDescent="0.2">
      <c r="A931" s="283"/>
      <c r="C931" s="106"/>
      <c r="D931" s="107"/>
    </row>
    <row r="932" spans="1:4" s="7" customFormat="1" ht="11.4" x14ac:dyDescent="0.2">
      <c r="A932" s="283"/>
      <c r="C932" s="106"/>
      <c r="D932" s="107"/>
    </row>
    <row r="933" spans="1:4" s="7" customFormat="1" ht="11.4" x14ac:dyDescent="0.2">
      <c r="A933" s="283"/>
      <c r="C933" s="106"/>
      <c r="D933" s="107"/>
    </row>
    <row r="934" spans="1:4" s="7" customFormat="1" ht="11.4" x14ac:dyDescent="0.2">
      <c r="A934" s="283"/>
      <c r="C934" s="106"/>
      <c r="D934" s="107"/>
    </row>
    <row r="935" spans="1:4" s="7" customFormat="1" ht="11.4" x14ac:dyDescent="0.2">
      <c r="A935" s="283"/>
      <c r="C935" s="106"/>
      <c r="D935" s="107"/>
    </row>
    <row r="936" spans="1:4" s="7" customFormat="1" ht="11.4" x14ac:dyDescent="0.2">
      <c r="A936" s="283"/>
      <c r="C936" s="106"/>
      <c r="D936" s="107"/>
    </row>
    <row r="937" spans="1:4" s="7" customFormat="1" ht="11.4" x14ac:dyDescent="0.2">
      <c r="A937" s="283"/>
      <c r="C937" s="106"/>
      <c r="D937" s="107"/>
    </row>
    <row r="938" spans="1:4" s="7" customFormat="1" ht="11.4" x14ac:dyDescent="0.2">
      <c r="A938" s="283"/>
      <c r="C938" s="106"/>
      <c r="D938" s="107"/>
    </row>
    <row r="939" spans="1:4" s="7" customFormat="1" ht="11.4" x14ac:dyDescent="0.2">
      <c r="A939" s="283"/>
      <c r="C939" s="106"/>
      <c r="D939" s="107"/>
    </row>
    <row r="940" spans="1:4" s="7" customFormat="1" ht="11.4" x14ac:dyDescent="0.2">
      <c r="A940" s="283"/>
      <c r="C940" s="106"/>
      <c r="D940" s="107"/>
    </row>
    <row r="941" spans="1:4" s="7" customFormat="1" ht="11.4" x14ac:dyDescent="0.2">
      <c r="A941" s="283"/>
      <c r="C941" s="106"/>
      <c r="D941" s="107"/>
    </row>
    <row r="942" spans="1:4" s="7" customFormat="1" ht="11.4" x14ac:dyDescent="0.2">
      <c r="A942" s="283"/>
      <c r="C942" s="106"/>
      <c r="D942" s="107"/>
    </row>
    <row r="943" spans="1:4" s="7" customFormat="1" ht="11.4" x14ac:dyDescent="0.2">
      <c r="A943" s="283"/>
      <c r="C943" s="106"/>
      <c r="D943" s="107"/>
    </row>
    <row r="944" spans="1:4" s="7" customFormat="1" ht="11.4" x14ac:dyDescent="0.2">
      <c r="A944" s="283"/>
      <c r="C944" s="106"/>
      <c r="D944" s="107"/>
    </row>
    <row r="945" spans="1:4" s="7" customFormat="1" ht="11.4" x14ac:dyDescent="0.2">
      <c r="A945" s="283"/>
      <c r="C945" s="106"/>
      <c r="D945" s="107"/>
    </row>
    <row r="946" spans="1:4" s="7" customFormat="1" ht="11.4" x14ac:dyDescent="0.2">
      <c r="A946" s="283"/>
      <c r="C946" s="106"/>
      <c r="D946" s="107"/>
    </row>
    <row r="947" spans="1:4" s="7" customFormat="1" ht="11.4" x14ac:dyDescent="0.2">
      <c r="A947" s="283"/>
      <c r="C947" s="106"/>
      <c r="D947" s="107"/>
    </row>
    <row r="948" spans="1:4" s="7" customFormat="1" ht="11.4" x14ac:dyDescent="0.2">
      <c r="A948" s="283"/>
      <c r="C948" s="106"/>
      <c r="D948" s="107"/>
    </row>
    <row r="949" spans="1:4" s="7" customFormat="1" ht="11.4" x14ac:dyDescent="0.2">
      <c r="A949" s="283"/>
      <c r="C949" s="106"/>
      <c r="D949" s="107"/>
    </row>
    <row r="950" spans="1:4" s="7" customFormat="1" ht="11.4" x14ac:dyDescent="0.2">
      <c r="A950" s="283"/>
      <c r="C950" s="106"/>
      <c r="D950" s="107"/>
    </row>
    <row r="951" spans="1:4" s="7" customFormat="1" ht="11.4" x14ac:dyDescent="0.2">
      <c r="A951" s="283"/>
      <c r="C951" s="106"/>
      <c r="D951" s="107"/>
    </row>
    <row r="952" spans="1:4" s="7" customFormat="1" ht="11.4" x14ac:dyDescent="0.2">
      <c r="A952" s="283"/>
      <c r="C952" s="106"/>
      <c r="D952" s="107"/>
    </row>
    <row r="953" spans="1:4" s="7" customFormat="1" ht="11.4" x14ac:dyDescent="0.2">
      <c r="A953" s="283"/>
      <c r="C953" s="106"/>
      <c r="D953" s="107"/>
    </row>
    <row r="954" spans="1:4" s="7" customFormat="1" ht="11.4" x14ac:dyDescent="0.2">
      <c r="A954" s="283"/>
      <c r="C954" s="106"/>
      <c r="D954" s="107"/>
    </row>
    <row r="955" spans="1:4" s="7" customFormat="1" ht="11.4" x14ac:dyDescent="0.2">
      <c r="A955" s="283"/>
      <c r="C955" s="106"/>
      <c r="D955" s="107"/>
    </row>
    <row r="956" spans="1:4" s="7" customFormat="1" ht="11.4" x14ac:dyDescent="0.2">
      <c r="A956" s="283"/>
      <c r="C956" s="106"/>
      <c r="D956" s="107"/>
    </row>
    <row r="957" spans="1:4" s="7" customFormat="1" ht="11.4" x14ac:dyDescent="0.2">
      <c r="A957" s="283"/>
      <c r="C957" s="106"/>
      <c r="D957" s="107"/>
    </row>
    <row r="958" spans="1:4" s="7" customFormat="1" ht="11.4" x14ac:dyDescent="0.2">
      <c r="A958" s="283"/>
      <c r="C958" s="106"/>
      <c r="D958" s="107"/>
    </row>
    <row r="959" spans="1:4" s="7" customFormat="1" ht="11.4" x14ac:dyDescent="0.2">
      <c r="A959" s="283"/>
      <c r="C959" s="106"/>
      <c r="D959" s="107"/>
    </row>
    <row r="960" spans="1:4" s="7" customFormat="1" ht="11.4" x14ac:dyDescent="0.2">
      <c r="A960" s="283"/>
      <c r="C960" s="106"/>
      <c r="D960" s="107"/>
    </row>
    <row r="961" spans="1:4" s="7" customFormat="1" ht="11.4" x14ac:dyDescent="0.2">
      <c r="A961" s="283"/>
      <c r="C961" s="106"/>
      <c r="D961" s="107"/>
    </row>
    <row r="962" spans="1:4" s="7" customFormat="1" ht="11.4" x14ac:dyDescent="0.2">
      <c r="A962" s="283"/>
      <c r="C962" s="106"/>
      <c r="D962" s="107"/>
    </row>
    <row r="963" spans="1:4" s="7" customFormat="1" ht="11.4" x14ac:dyDescent="0.2">
      <c r="A963" s="283"/>
      <c r="C963" s="106"/>
      <c r="D963" s="107"/>
    </row>
    <row r="964" spans="1:4" s="7" customFormat="1" ht="11.4" x14ac:dyDescent="0.2">
      <c r="A964" s="283"/>
      <c r="C964" s="106"/>
      <c r="D964" s="107"/>
    </row>
    <row r="965" spans="1:4" s="7" customFormat="1" ht="11.4" x14ac:dyDescent="0.2">
      <c r="A965" s="283"/>
      <c r="C965" s="106"/>
      <c r="D965" s="107"/>
    </row>
    <row r="966" spans="1:4" s="7" customFormat="1" ht="11.4" x14ac:dyDescent="0.2">
      <c r="A966" s="283"/>
      <c r="C966" s="106"/>
      <c r="D966" s="107"/>
    </row>
    <row r="967" spans="1:4" s="7" customFormat="1" ht="11.4" x14ac:dyDescent="0.2">
      <c r="A967" s="283"/>
      <c r="C967" s="106"/>
      <c r="D967" s="107"/>
    </row>
    <row r="968" spans="1:4" s="7" customFormat="1" ht="11.4" x14ac:dyDescent="0.2">
      <c r="A968" s="283"/>
      <c r="C968" s="106"/>
      <c r="D968" s="107"/>
    </row>
    <row r="969" spans="1:4" s="7" customFormat="1" ht="11.4" x14ac:dyDescent="0.2">
      <c r="A969" s="283"/>
      <c r="C969" s="106"/>
      <c r="D969" s="107"/>
    </row>
    <row r="970" spans="1:4" s="7" customFormat="1" ht="11.4" x14ac:dyDescent="0.2">
      <c r="A970" s="283"/>
      <c r="C970" s="106"/>
      <c r="D970" s="107"/>
    </row>
    <row r="971" spans="1:4" s="7" customFormat="1" ht="11.4" x14ac:dyDescent="0.2">
      <c r="A971" s="283"/>
      <c r="C971" s="106"/>
      <c r="D971" s="107"/>
    </row>
    <row r="972" spans="1:4" s="7" customFormat="1" ht="11.4" x14ac:dyDescent="0.2">
      <c r="A972" s="283"/>
      <c r="C972" s="106"/>
      <c r="D972" s="107"/>
    </row>
    <row r="973" spans="1:4" s="7" customFormat="1" ht="11.4" x14ac:dyDescent="0.2">
      <c r="A973" s="283"/>
      <c r="C973" s="106"/>
      <c r="D973" s="107"/>
    </row>
    <row r="974" spans="1:4" s="7" customFormat="1" ht="11.4" x14ac:dyDescent="0.2">
      <c r="A974" s="283"/>
      <c r="C974" s="106"/>
      <c r="D974" s="107"/>
    </row>
    <row r="975" spans="1:4" s="7" customFormat="1" ht="11.4" x14ac:dyDescent="0.2">
      <c r="A975" s="283"/>
      <c r="C975" s="106"/>
      <c r="D975" s="107"/>
    </row>
    <row r="976" spans="1:4" s="7" customFormat="1" ht="11.4" x14ac:dyDescent="0.2">
      <c r="A976" s="283"/>
      <c r="C976" s="106"/>
      <c r="D976" s="107"/>
    </row>
    <row r="977" spans="1:4" s="7" customFormat="1" ht="11.4" x14ac:dyDescent="0.2">
      <c r="A977" s="283"/>
      <c r="C977" s="106"/>
      <c r="D977" s="107"/>
    </row>
    <row r="978" spans="1:4" s="7" customFormat="1" ht="11.4" x14ac:dyDescent="0.2">
      <c r="A978" s="283"/>
      <c r="C978" s="106"/>
      <c r="D978" s="107"/>
    </row>
    <row r="979" spans="1:4" s="7" customFormat="1" ht="11.4" x14ac:dyDescent="0.2">
      <c r="A979" s="283"/>
      <c r="C979" s="106"/>
      <c r="D979" s="107"/>
    </row>
    <row r="980" spans="1:4" s="7" customFormat="1" ht="11.4" x14ac:dyDescent="0.2">
      <c r="A980" s="283"/>
      <c r="C980" s="106"/>
      <c r="D980" s="107"/>
    </row>
    <row r="981" spans="1:4" s="7" customFormat="1" ht="11.4" x14ac:dyDescent="0.2">
      <c r="A981" s="283"/>
      <c r="C981" s="106"/>
      <c r="D981" s="107"/>
    </row>
    <row r="982" spans="1:4" s="7" customFormat="1" ht="11.4" x14ac:dyDescent="0.2">
      <c r="A982" s="283"/>
      <c r="C982" s="106"/>
      <c r="D982" s="107"/>
    </row>
    <row r="983" spans="1:4" s="7" customFormat="1" ht="11.4" x14ac:dyDescent="0.2">
      <c r="A983" s="283"/>
      <c r="C983" s="106"/>
      <c r="D983" s="107"/>
    </row>
    <row r="984" spans="1:4" s="7" customFormat="1" ht="11.4" x14ac:dyDescent="0.2">
      <c r="A984" s="283"/>
      <c r="C984" s="106"/>
      <c r="D984" s="107"/>
    </row>
    <row r="985" spans="1:4" s="7" customFormat="1" ht="11.4" x14ac:dyDescent="0.2">
      <c r="A985" s="283"/>
      <c r="C985" s="106"/>
      <c r="D985" s="107"/>
    </row>
    <row r="986" spans="1:4" s="7" customFormat="1" ht="11.4" x14ac:dyDescent="0.2">
      <c r="A986" s="283"/>
      <c r="C986" s="106"/>
      <c r="D986" s="107"/>
    </row>
    <row r="987" spans="1:4" s="7" customFormat="1" ht="11.4" x14ac:dyDescent="0.2">
      <c r="A987" s="283"/>
      <c r="C987" s="106"/>
      <c r="D987" s="107"/>
    </row>
    <row r="988" spans="1:4" s="7" customFormat="1" ht="11.4" x14ac:dyDescent="0.2">
      <c r="A988" s="283"/>
      <c r="C988" s="106"/>
      <c r="D988" s="107"/>
    </row>
    <row r="989" spans="1:4" s="7" customFormat="1" ht="11.4" x14ac:dyDescent="0.2">
      <c r="A989" s="283"/>
      <c r="C989" s="106"/>
      <c r="D989" s="107"/>
    </row>
    <row r="990" spans="1:4" s="7" customFormat="1" ht="11.4" x14ac:dyDescent="0.2">
      <c r="A990" s="283"/>
      <c r="C990" s="106"/>
      <c r="D990" s="107"/>
    </row>
    <row r="991" spans="1:4" s="7" customFormat="1" ht="11.4" x14ac:dyDescent="0.2">
      <c r="A991" s="283"/>
      <c r="C991" s="106"/>
      <c r="D991" s="107"/>
    </row>
    <row r="992" spans="1:4" s="7" customFormat="1" ht="11.4" x14ac:dyDescent="0.2">
      <c r="A992" s="283"/>
      <c r="C992" s="106"/>
      <c r="D992" s="107"/>
    </row>
    <row r="993" spans="1:4" s="7" customFormat="1" ht="11.4" x14ac:dyDescent="0.2">
      <c r="A993" s="283"/>
      <c r="C993" s="106"/>
      <c r="D993" s="107"/>
    </row>
    <row r="994" spans="1:4" s="7" customFormat="1" ht="11.4" x14ac:dyDescent="0.2">
      <c r="A994" s="283"/>
      <c r="C994" s="106"/>
      <c r="D994" s="107"/>
    </row>
    <row r="995" spans="1:4" s="7" customFormat="1" ht="11.4" x14ac:dyDescent="0.2">
      <c r="A995" s="283"/>
      <c r="C995" s="106"/>
      <c r="D995" s="107"/>
    </row>
    <row r="996" spans="1:4" s="7" customFormat="1" ht="11.4" x14ac:dyDescent="0.2">
      <c r="A996" s="283"/>
      <c r="C996" s="106"/>
      <c r="D996" s="107"/>
    </row>
    <row r="997" spans="1:4" s="7" customFormat="1" ht="11.4" x14ac:dyDescent="0.2">
      <c r="A997" s="283"/>
      <c r="C997" s="106"/>
      <c r="D997" s="107"/>
    </row>
    <row r="998" spans="1:4" s="7" customFormat="1" ht="11.4" x14ac:dyDescent="0.2">
      <c r="A998" s="283"/>
      <c r="C998" s="106"/>
      <c r="D998" s="107"/>
    </row>
    <row r="999" spans="1:4" s="7" customFormat="1" ht="11.4" x14ac:dyDescent="0.2">
      <c r="A999" s="283"/>
      <c r="C999" s="106"/>
      <c r="D999" s="107"/>
    </row>
    <row r="1000" spans="1:4" s="7" customFormat="1" ht="11.4" x14ac:dyDescent="0.2">
      <c r="A1000" s="283"/>
      <c r="C1000" s="106"/>
      <c r="D1000" s="107"/>
    </row>
    <row r="1001" spans="1:4" s="7" customFormat="1" ht="11.4" x14ac:dyDescent="0.2">
      <c r="A1001" s="283"/>
      <c r="C1001" s="106"/>
      <c r="D1001" s="107"/>
    </row>
    <row r="1002" spans="1:4" s="7" customFormat="1" ht="11.4" x14ac:dyDescent="0.2">
      <c r="A1002" s="283"/>
      <c r="C1002" s="106"/>
      <c r="D1002" s="107"/>
    </row>
    <row r="1003" spans="1:4" s="7" customFormat="1" ht="11.4" x14ac:dyDescent="0.2">
      <c r="A1003" s="283"/>
      <c r="C1003" s="106"/>
      <c r="D1003" s="107"/>
    </row>
    <row r="1004" spans="1:4" s="7" customFormat="1" ht="11.4" x14ac:dyDescent="0.2">
      <c r="A1004" s="283"/>
      <c r="C1004" s="106"/>
      <c r="D1004" s="107"/>
    </row>
    <row r="1005" spans="1:4" s="7" customFormat="1" ht="11.4" x14ac:dyDescent="0.2">
      <c r="A1005" s="283"/>
      <c r="C1005" s="106"/>
      <c r="D1005" s="107"/>
    </row>
    <row r="1006" spans="1:4" s="7" customFormat="1" ht="11.4" x14ac:dyDescent="0.2">
      <c r="A1006" s="283"/>
      <c r="C1006" s="106"/>
      <c r="D1006" s="107"/>
    </row>
    <row r="1007" spans="1:4" s="7" customFormat="1" ht="11.4" x14ac:dyDescent="0.2">
      <c r="A1007" s="283"/>
      <c r="C1007" s="106"/>
      <c r="D1007" s="107"/>
    </row>
    <row r="1008" spans="1:4" s="7" customFormat="1" ht="11.4" x14ac:dyDescent="0.2">
      <c r="A1008" s="283"/>
      <c r="C1008" s="106"/>
      <c r="D1008" s="107"/>
    </row>
    <row r="1009" spans="1:4" s="7" customFormat="1" ht="11.4" x14ac:dyDescent="0.2">
      <c r="A1009" s="283"/>
      <c r="C1009" s="106"/>
      <c r="D1009" s="107"/>
    </row>
    <row r="1010" spans="1:4" s="7" customFormat="1" ht="11.4" x14ac:dyDescent="0.2">
      <c r="A1010" s="283"/>
      <c r="C1010" s="106"/>
      <c r="D1010" s="107"/>
    </row>
    <row r="1011" spans="1:4" s="7" customFormat="1" ht="11.4" x14ac:dyDescent="0.2">
      <c r="A1011" s="283"/>
      <c r="C1011" s="106"/>
      <c r="D1011" s="107"/>
    </row>
    <row r="1012" spans="1:4" s="7" customFormat="1" ht="11.4" x14ac:dyDescent="0.2">
      <c r="A1012" s="283"/>
      <c r="C1012" s="106"/>
      <c r="D1012" s="107"/>
    </row>
    <row r="1013" spans="1:4" s="7" customFormat="1" ht="11.4" x14ac:dyDescent="0.2">
      <c r="A1013" s="283"/>
      <c r="C1013" s="106"/>
      <c r="D1013" s="107"/>
    </row>
    <row r="1014" spans="1:4" s="7" customFormat="1" ht="11.4" x14ac:dyDescent="0.2">
      <c r="A1014" s="283"/>
      <c r="C1014" s="106"/>
      <c r="D1014" s="107"/>
    </row>
    <row r="1015" spans="1:4" s="7" customFormat="1" ht="11.4" x14ac:dyDescent="0.2">
      <c r="A1015" s="283"/>
      <c r="C1015" s="106"/>
      <c r="D1015" s="107"/>
    </row>
    <row r="1016" spans="1:4" s="7" customFormat="1" ht="11.4" x14ac:dyDescent="0.2">
      <c r="A1016" s="283"/>
      <c r="C1016" s="106"/>
      <c r="D1016" s="107"/>
    </row>
    <row r="1017" spans="1:4" s="7" customFormat="1" ht="11.4" x14ac:dyDescent="0.2">
      <c r="A1017" s="283"/>
      <c r="C1017" s="106"/>
      <c r="D1017" s="107"/>
    </row>
    <row r="1018" spans="1:4" s="7" customFormat="1" ht="11.4" x14ac:dyDescent="0.2">
      <c r="A1018" s="283"/>
      <c r="C1018" s="106"/>
      <c r="D1018" s="107"/>
    </row>
    <row r="1019" spans="1:4" s="7" customFormat="1" ht="11.4" x14ac:dyDescent="0.2">
      <c r="A1019" s="283"/>
      <c r="C1019" s="106"/>
      <c r="D1019" s="107"/>
    </row>
    <row r="1020" spans="1:4" s="7" customFormat="1" ht="11.4" x14ac:dyDescent="0.2">
      <c r="A1020" s="283"/>
      <c r="C1020" s="106"/>
      <c r="D1020" s="107"/>
    </row>
    <row r="1021" spans="1:4" s="7" customFormat="1" ht="11.4" x14ac:dyDescent="0.2">
      <c r="A1021" s="283"/>
      <c r="C1021" s="106"/>
      <c r="D1021" s="107"/>
    </row>
    <row r="1022" spans="1:4" s="7" customFormat="1" ht="11.4" x14ac:dyDescent="0.2">
      <c r="A1022" s="283"/>
      <c r="C1022" s="106"/>
      <c r="D1022" s="107"/>
    </row>
    <row r="1023" spans="1:4" s="7" customFormat="1" ht="11.4" x14ac:dyDescent="0.2">
      <c r="A1023" s="283"/>
      <c r="C1023" s="106"/>
      <c r="D1023" s="107"/>
    </row>
    <row r="1024" spans="1:4" s="7" customFormat="1" ht="11.4" x14ac:dyDescent="0.2">
      <c r="A1024" s="283"/>
      <c r="C1024" s="106"/>
      <c r="D1024" s="107"/>
    </row>
    <row r="1025" spans="1:4" s="7" customFormat="1" ht="11.4" x14ac:dyDescent="0.2">
      <c r="A1025" s="283"/>
      <c r="C1025" s="106"/>
      <c r="D1025" s="107"/>
    </row>
    <row r="1026" spans="1:4" s="7" customFormat="1" ht="11.4" x14ac:dyDescent="0.2">
      <c r="A1026" s="283"/>
      <c r="C1026" s="106"/>
      <c r="D1026" s="107"/>
    </row>
    <row r="1027" spans="1:4" s="7" customFormat="1" ht="11.4" x14ac:dyDescent="0.2">
      <c r="A1027" s="283"/>
      <c r="C1027" s="106"/>
      <c r="D1027" s="107"/>
    </row>
    <row r="1028" spans="1:4" s="7" customFormat="1" ht="11.4" x14ac:dyDescent="0.2">
      <c r="A1028" s="283"/>
      <c r="C1028" s="106"/>
      <c r="D1028" s="107"/>
    </row>
    <row r="1029" spans="1:4" s="7" customFormat="1" ht="11.4" x14ac:dyDescent="0.2">
      <c r="A1029" s="283"/>
      <c r="C1029" s="106"/>
      <c r="D1029" s="107"/>
    </row>
    <row r="1030" spans="1:4" s="7" customFormat="1" ht="11.4" x14ac:dyDescent="0.2">
      <c r="A1030" s="283"/>
      <c r="C1030" s="106"/>
      <c r="D1030" s="107"/>
    </row>
  </sheetData>
  <mergeCells count="100">
    <mergeCell ref="A3:A4"/>
    <mergeCell ref="E46:F46"/>
    <mergeCell ref="E79:F79"/>
    <mergeCell ref="E80:F80"/>
    <mergeCell ref="E81:F81"/>
    <mergeCell ref="E82:F82"/>
    <mergeCell ref="E94:F94"/>
    <mergeCell ref="E88:F88"/>
    <mergeCell ref="B95:F95"/>
    <mergeCell ref="E92:F92"/>
    <mergeCell ref="E93:F93"/>
    <mergeCell ref="E89:F89"/>
    <mergeCell ref="B90:I90"/>
    <mergeCell ref="E91:F91"/>
    <mergeCell ref="E85:F85"/>
    <mergeCell ref="B86:I86"/>
    <mergeCell ref="E87:F87"/>
    <mergeCell ref="B83:I83"/>
    <mergeCell ref="E84:F84"/>
    <mergeCell ref="B78:I78"/>
    <mergeCell ref="E70:F70"/>
    <mergeCell ref="E71:F71"/>
    <mergeCell ref="B72:I72"/>
    <mergeCell ref="E65:F65"/>
    <mergeCell ref="B68:I68"/>
    <mergeCell ref="E69:F69"/>
    <mergeCell ref="E73:F73"/>
    <mergeCell ref="E74:F74"/>
    <mergeCell ref="E75:F75"/>
    <mergeCell ref="E76:F76"/>
    <mergeCell ref="E77:F77"/>
    <mergeCell ref="E66:F66"/>
    <mergeCell ref="E67:F67"/>
    <mergeCell ref="E61:F61"/>
    <mergeCell ref="B63:I63"/>
    <mergeCell ref="E64:F64"/>
    <mergeCell ref="E58:F58"/>
    <mergeCell ref="E59:F59"/>
    <mergeCell ref="E60:F60"/>
    <mergeCell ref="E62:F62"/>
    <mergeCell ref="E55:F55"/>
    <mergeCell ref="B56:I56"/>
    <mergeCell ref="E57:F57"/>
    <mergeCell ref="E52:F52"/>
    <mergeCell ref="B53:I53"/>
    <mergeCell ref="E54:F54"/>
    <mergeCell ref="E50:F50"/>
    <mergeCell ref="E51:F51"/>
    <mergeCell ref="E48:F48"/>
    <mergeCell ref="E49:F49"/>
    <mergeCell ref="E45:F45"/>
    <mergeCell ref="B47:I47"/>
    <mergeCell ref="E40:F40"/>
    <mergeCell ref="B41:I41"/>
    <mergeCell ref="E37:F37"/>
    <mergeCell ref="E38:F38"/>
    <mergeCell ref="B30:I30"/>
    <mergeCell ref="E31:F31"/>
    <mergeCell ref="E32:F32"/>
    <mergeCell ref="B33:I33"/>
    <mergeCell ref="E34:F34"/>
    <mergeCell ref="E35:F35"/>
    <mergeCell ref="E36:F36"/>
    <mergeCell ref="E39:F39"/>
    <mergeCell ref="E27:F27"/>
    <mergeCell ref="B28:I28"/>
    <mergeCell ref="E29:F29"/>
    <mergeCell ref="B25:I25"/>
    <mergeCell ref="B26:I26"/>
    <mergeCell ref="E23:F23"/>
    <mergeCell ref="E24:F24"/>
    <mergeCell ref="E16:F16"/>
    <mergeCell ref="B17:I17"/>
    <mergeCell ref="E19:F19"/>
    <mergeCell ref="E18:F18"/>
    <mergeCell ref="E22:F22"/>
    <mergeCell ref="B1:D2"/>
    <mergeCell ref="E1:I2"/>
    <mergeCell ref="E3:F4"/>
    <mergeCell ref="D3:D4"/>
    <mergeCell ref="C3:C4"/>
    <mergeCell ref="B3:B4"/>
    <mergeCell ref="G3:G4"/>
    <mergeCell ref="I3:I4"/>
    <mergeCell ref="H3:H4"/>
    <mergeCell ref="E42:F42"/>
    <mergeCell ref="E43:F43"/>
    <mergeCell ref="E44:F44"/>
    <mergeCell ref="B6:I6"/>
    <mergeCell ref="E7:F7"/>
    <mergeCell ref="E8:F8"/>
    <mergeCell ref="E12:F12"/>
    <mergeCell ref="E13:F13"/>
    <mergeCell ref="B14:I14"/>
    <mergeCell ref="E15:F15"/>
    <mergeCell ref="E9:F9"/>
    <mergeCell ref="E10:F10"/>
    <mergeCell ref="B11:I11"/>
    <mergeCell ref="B20:I20"/>
    <mergeCell ref="B21:I21"/>
  </mergeCells>
  <phoneticPr fontId="19" type="noConversion"/>
  <pageMargins left="0.511811024" right="0.511811024" top="0.78740157499999996" bottom="0.78740157499999996" header="0.31496062000000002" footer="0.31496062000000002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CEDEE-C129-45E7-89B4-9600F6DA6D52}">
  <sheetPr>
    <outlinePr summaryBelow="0" summaryRight="0"/>
  </sheetPr>
  <dimension ref="A1:EO1031"/>
  <sheetViews>
    <sheetView zoomScale="88" zoomScaleNormal="88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CN96" sqref="A1:CS96"/>
    </sheetView>
  </sheetViews>
  <sheetFormatPr defaultColWidth="14.44140625" defaultRowHeight="15.75" customHeight="1" x14ac:dyDescent="0.25"/>
  <cols>
    <col min="1" max="1" width="14.21875" style="283" customWidth="1"/>
    <col min="2" max="2" width="71.77734375" style="7" customWidth="1"/>
    <col min="3" max="3" width="5.6640625" style="7" customWidth="1"/>
    <col min="4" max="4" width="10.88671875" style="108" customWidth="1"/>
    <col min="5" max="6" width="8.33203125" style="7" customWidth="1"/>
    <col min="7" max="7" width="14.6640625" style="7" customWidth="1"/>
    <col min="8" max="14" width="2.109375" customWidth="1"/>
    <col min="15" max="91" width="2.21875" customWidth="1"/>
    <col min="92" max="97" width="2.5546875" customWidth="1"/>
    <col min="98" max="145" width="2.21875" customWidth="1"/>
  </cols>
  <sheetData>
    <row r="1" spans="1:145" ht="19.2" customHeight="1" thickBot="1" x14ac:dyDescent="0.3">
      <c r="B1" s="375" t="s">
        <v>221</v>
      </c>
      <c r="C1" s="376"/>
      <c r="D1" s="377"/>
      <c r="E1" s="381" t="s">
        <v>158</v>
      </c>
      <c r="F1" s="382"/>
      <c r="G1" s="383"/>
      <c r="H1" s="585" t="s">
        <v>100</v>
      </c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586"/>
      <c r="AX1" s="586"/>
      <c r="AY1" s="586"/>
      <c r="AZ1" s="586"/>
      <c r="BA1" s="586"/>
      <c r="BB1" s="586"/>
      <c r="BC1" s="586"/>
      <c r="BD1" s="586"/>
      <c r="BE1" s="586"/>
      <c r="BF1" s="586"/>
      <c r="BG1" s="586"/>
      <c r="BH1" s="586"/>
      <c r="BI1" s="586"/>
      <c r="BJ1" s="586"/>
      <c r="BK1" s="586"/>
      <c r="BL1" s="586"/>
      <c r="BM1" s="586"/>
      <c r="BN1" s="586"/>
      <c r="BO1" s="586"/>
      <c r="BP1" s="586"/>
      <c r="BQ1" s="586"/>
      <c r="BR1" s="586"/>
      <c r="BS1" s="586"/>
      <c r="BT1" s="586"/>
      <c r="BU1" s="586"/>
      <c r="BV1" s="586"/>
      <c r="BW1" s="586"/>
      <c r="BX1" s="586"/>
      <c r="BY1" s="586"/>
      <c r="BZ1" s="586"/>
      <c r="CA1" s="586"/>
      <c r="CB1" s="586"/>
      <c r="CC1" s="586"/>
      <c r="CD1" s="586"/>
      <c r="CE1" s="586"/>
      <c r="CF1" s="586"/>
      <c r="CG1" s="586"/>
      <c r="CH1" s="586"/>
      <c r="CI1" s="586"/>
      <c r="CJ1" s="586"/>
      <c r="CK1" s="586"/>
      <c r="CL1" s="586"/>
      <c r="CM1" s="586"/>
      <c r="CN1" s="586"/>
      <c r="CO1" s="586"/>
      <c r="CP1" s="586"/>
      <c r="CQ1" s="586"/>
      <c r="CR1" s="586"/>
      <c r="CS1" s="587"/>
    </row>
    <row r="2" spans="1:145" ht="13.8" customHeight="1" thickBot="1" x14ac:dyDescent="0.3">
      <c r="B2" s="581"/>
      <c r="C2" s="560"/>
      <c r="D2" s="561"/>
      <c r="E2" s="562"/>
      <c r="F2" s="563"/>
      <c r="G2" s="564"/>
      <c r="H2" s="410" t="s">
        <v>107</v>
      </c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  <c r="AH2" s="411"/>
      <c r="AI2" s="411"/>
      <c r="AJ2" s="411"/>
      <c r="AK2" s="411"/>
      <c r="AL2" s="411"/>
      <c r="AM2" s="411"/>
      <c r="AN2" s="411"/>
      <c r="AO2" s="411"/>
      <c r="AP2" s="411"/>
      <c r="AQ2" s="411"/>
      <c r="AR2" s="411"/>
      <c r="AS2" s="411"/>
      <c r="AT2" s="411"/>
      <c r="AU2" s="411"/>
      <c r="AV2" s="411"/>
      <c r="AW2" s="411"/>
      <c r="AX2" s="411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411"/>
      <c r="CH2" s="411"/>
      <c r="CI2" s="411"/>
      <c r="CJ2" s="411"/>
      <c r="CK2" s="411"/>
      <c r="CL2" s="411"/>
      <c r="CM2" s="411"/>
      <c r="CN2" s="411"/>
      <c r="CO2" s="411"/>
      <c r="CP2" s="411"/>
      <c r="CQ2" s="411"/>
      <c r="CR2" s="411"/>
      <c r="CS2" s="418"/>
    </row>
    <row r="3" spans="1:145" s="115" customFormat="1" ht="19.2" customHeight="1" thickBot="1" x14ac:dyDescent="0.3">
      <c r="A3" s="108"/>
      <c r="B3" s="582"/>
      <c r="C3" s="583"/>
      <c r="D3" s="584"/>
      <c r="E3" s="384"/>
      <c r="F3" s="385"/>
      <c r="G3" s="386"/>
      <c r="H3" s="286">
        <v>1</v>
      </c>
      <c r="I3" s="287">
        <v>2</v>
      </c>
      <c r="J3" s="287">
        <v>3</v>
      </c>
      <c r="K3" s="287">
        <v>4</v>
      </c>
      <c r="L3" s="287">
        <v>5</v>
      </c>
      <c r="M3" s="287">
        <v>6</v>
      </c>
      <c r="N3" s="287">
        <v>7</v>
      </c>
      <c r="O3" s="286">
        <v>8</v>
      </c>
      <c r="P3" s="287">
        <v>9</v>
      </c>
      <c r="Q3" s="287">
        <v>10</v>
      </c>
      <c r="R3" s="287">
        <v>11</v>
      </c>
      <c r="S3" s="287">
        <v>12</v>
      </c>
      <c r="T3" s="287">
        <v>13</v>
      </c>
      <c r="U3" s="288">
        <v>14</v>
      </c>
      <c r="V3" s="287">
        <v>15</v>
      </c>
      <c r="W3" s="287">
        <v>16</v>
      </c>
      <c r="X3" s="287">
        <v>17</v>
      </c>
      <c r="Y3" s="287">
        <v>18</v>
      </c>
      <c r="Z3" s="287">
        <v>19</v>
      </c>
      <c r="AA3" s="287">
        <v>20</v>
      </c>
      <c r="AB3" s="287">
        <v>21</v>
      </c>
      <c r="AC3" s="286">
        <v>22</v>
      </c>
      <c r="AD3" s="287">
        <v>23</v>
      </c>
      <c r="AE3" s="287">
        <v>24</v>
      </c>
      <c r="AF3" s="287">
        <v>25</v>
      </c>
      <c r="AG3" s="287">
        <v>26</v>
      </c>
      <c r="AH3" s="287">
        <v>27</v>
      </c>
      <c r="AI3" s="288">
        <v>28</v>
      </c>
      <c r="AJ3" s="287">
        <v>29</v>
      </c>
      <c r="AK3" s="287">
        <v>30</v>
      </c>
      <c r="AL3" s="287">
        <v>31</v>
      </c>
      <c r="AM3" s="287">
        <v>32</v>
      </c>
      <c r="AN3" s="287">
        <v>33</v>
      </c>
      <c r="AO3" s="287">
        <v>34</v>
      </c>
      <c r="AP3" s="288">
        <v>35</v>
      </c>
      <c r="AQ3" s="117">
        <v>36</v>
      </c>
      <c r="AR3" s="117">
        <v>37</v>
      </c>
      <c r="AS3" s="117">
        <v>38</v>
      </c>
      <c r="AT3" s="117">
        <v>39</v>
      </c>
      <c r="AU3" s="117">
        <v>40</v>
      </c>
      <c r="AV3" s="117">
        <v>41</v>
      </c>
      <c r="AW3" s="117">
        <v>42</v>
      </c>
      <c r="AX3" s="286">
        <v>43</v>
      </c>
      <c r="AY3" s="287">
        <v>44</v>
      </c>
      <c r="AZ3" s="287">
        <v>45</v>
      </c>
      <c r="BA3" s="287">
        <v>46</v>
      </c>
      <c r="BB3" s="287">
        <v>47</v>
      </c>
      <c r="BC3" s="287">
        <v>48</v>
      </c>
      <c r="BD3" s="288">
        <v>49</v>
      </c>
      <c r="BE3" s="117">
        <v>50</v>
      </c>
      <c r="BF3" s="117">
        <v>51</v>
      </c>
      <c r="BG3" s="117">
        <v>52</v>
      </c>
      <c r="BH3" s="117">
        <v>53</v>
      </c>
      <c r="BI3" s="117">
        <v>54</v>
      </c>
      <c r="BJ3" s="117">
        <v>55</v>
      </c>
      <c r="BK3" s="117">
        <v>56</v>
      </c>
      <c r="BL3" s="286">
        <v>57</v>
      </c>
      <c r="BM3" s="287">
        <v>58</v>
      </c>
      <c r="BN3" s="287">
        <v>59</v>
      </c>
      <c r="BO3" s="287">
        <v>60</v>
      </c>
      <c r="BP3" s="287">
        <v>61</v>
      </c>
      <c r="BQ3" s="287">
        <v>62</v>
      </c>
      <c r="BR3" s="288">
        <v>63</v>
      </c>
      <c r="BS3" s="117">
        <v>64</v>
      </c>
      <c r="BT3" s="117">
        <v>65</v>
      </c>
      <c r="BU3" s="117">
        <v>66</v>
      </c>
      <c r="BV3" s="117">
        <v>67</v>
      </c>
      <c r="BW3" s="117">
        <v>68</v>
      </c>
      <c r="BX3" s="117">
        <v>69</v>
      </c>
      <c r="BY3" s="117">
        <v>70</v>
      </c>
      <c r="BZ3" s="286">
        <v>71</v>
      </c>
      <c r="CA3" s="287">
        <v>72</v>
      </c>
      <c r="CB3" s="287">
        <v>73</v>
      </c>
      <c r="CC3" s="287">
        <v>74</v>
      </c>
      <c r="CD3" s="287">
        <v>75</v>
      </c>
      <c r="CE3" s="287">
        <v>76</v>
      </c>
      <c r="CF3" s="288">
        <v>77</v>
      </c>
      <c r="CG3" s="117">
        <v>78</v>
      </c>
      <c r="CH3" s="117">
        <v>79</v>
      </c>
      <c r="CI3" s="117">
        <v>80</v>
      </c>
      <c r="CJ3" s="117">
        <v>81</v>
      </c>
      <c r="CK3" s="117">
        <v>82</v>
      </c>
      <c r="CL3" s="117">
        <v>83</v>
      </c>
      <c r="CM3" s="117">
        <v>84</v>
      </c>
      <c r="CN3" s="286">
        <v>85</v>
      </c>
      <c r="CO3" s="287">
        <v>86</v>
      </c>
      <c r="CP3" s="287">
        <v>87</v>
      </c>
      <c r="CQ3" s="287">
        <v>88</v>
      </c>
      <c r="CR3" s="287">
        <v>89</v>
      </c>
      <c r="CS3" s="288">
        <v>90</v>
      </c>
    </row>
    <row r="4" spans="1:145" ht="12.75" customHeight="1" x14ac:dyDescent="0.25">
      <c r="B4" s="419" t="s">
        <v>72</v>
      </c>
      <c r="C4" s="420"/>
      <c r="D4" s="421"/>
      <c r="E4" s="422"/>
      <c r="F4" s="423"/>
      <c r="G4" s="423"/>
      <c r="H4" s="304"/>
      <c r="I4" s="305"/>
      <c r="J4" s="305"/>
      <c r="K4" s="305"/>
      <c r="L4" s="305"/>
      <c r="M4" s="305"/>
      <c r="N4" s="305"/>
      <c r="O4" s="307"/>
      <c r="P4" s="306"/>
      <c r="Q4" s="306"/>
      <c r="R4" s="306"/>
      <c r="S4" s="306"/>
      <c r="T4" s="306"/>
      <c r="U4" s="308"/>
      <c r="V4" s="306"/>
      <c r="W4" s="306"/>
      <c r="X4" s="306"/>
      <c r="Y4" s="306"/>
      <c r="Z4" s="306"/>
      <c r="AA4" s="306"/>
      <c r="AB4" s="306"/>
      <c r="AC4" s="307"/>
      <c r="AD4" s="306"/>
      <c r="AE4" s="306"/>
      <c r="AF4" s="306"/>
      <c r="AG4" s="306"/>
      <c r="AH4" s="306"/>
      <c r="AI4" s="308"/>
      <c r="AJ4" s="306"/>
      <c r="AK4" s="306"/>
      <c r="AL4" s="306"/>
      <c r="AM4" s="306"/>
      <c r="AN4" s="306"/>
      <c r="AO4" s="306"/>
      <c r="AP4" s="306"/>
      <c r="AQ4" s="307"/>
      <c r="AR4" s="306"/>
      <c r="AS4" s="306"/>
      <c r="AT4" s="306"/>
      <c r="AU4" s="306"/>
      <c r="AV4" s="306"/>
      <c r="AW4" s="308"/>
      <c r="AX4" s="306"/>
      <c r="AY4" s="306"/>
      <c r="AZ4" s="306"/>
      <c r="BA4" s="306"/>
      <c r="BB4" s="306"/>
      <c r="BC4" s="306"/>
      <c r="BD4" s="306"/>
      <c r="BE4" s="307"/>
      <c r="BF4" s="306"/>
      <c r="BG4" s="306"/>
      <c r="BH4" s="306"/>
      <c r="BI4" s="306"/>
      <c r="BJ4" s="306"/>
      <c r="BK4" s="308"/>
      <c r="BL4" s="306"/>
      <c r="BM4" s="306"/>
      <c r="BN4" s="306"/>
      <c r="BO4" s="306"/>
      <c r="BP4" s="306"/>
      <c r="BQ4" s="306"/>
      <c r="BR4" s="306"/>
      <c r="BS4" s="307"/>
      <c r="BT4" s="306"/>
      <c r="BU4" s="306"/>
      <c r="BV4" s="306"/>
      <c r="BW4" s="306"/>
      <c r="BX4" s="306"/>
      <c r="BY4" s="308"/>
      <c r="BZ4" s="306"/>
      <c r="CA4" s="306"/>
      <c r="CB4" s="306"/>
      <c r="CC4" s="306"/>
      <c r="CD4" s="306"/>
      <c r="CE4" s="306"/>
      <c r="CF4" s="306"/>
      <c r="CG4" s="307"/>
      <c r="CH4" s="306"/>
      <c r="CI4" s="306"/>
      <c r="CJ4" s="306"/>
      <c r="CK4" s="306"/>
      <c r="CL4" s="306"/>
      <c r="CM4" s="308"/>
      <c r="CN4" s="306"/>
      <c r="CO4" s="306"/>
      <c r="CP4" s="306"/>
      <c r="CQ4" s="306"/>
      <c r="CR4" s="306"/>
      <c r="CS4" s="308"/>
    </row>
    <row r="5" spans="1:145" ht="23.4" customHeight="1" x14ac:dyDescent="0.25">
      <c r="A5" s="565" t="s">
        <v>247</v>
      </c>
      <c r="B5" s="545" t="s">
        <v>142</v>
      </c>
      <c r="C5" s="544" t="s">
        <v>0</v>
      </c>
      <c r="D5" s="277" t="s">
        <v>1</v>
      </c>
      <c r="E5" s="543" t="s">
        <v>225</v>
      </c>
      <c r="F5" s="542"/>
      <c r="G5" s="546" t="s">
        <v>7</v>
      </c>
      <c r="H5" s="1"/>
      <c r="O5" s="1"/>
      <c r="U5" s="2"/>
      <c r="AC5" s="1"/>
      <c r="AI5" s="2"/>
      <c r="AQ5" s="1"/>
      <c r="AW5" s="2"/>
      <c r="BE5" s="1"/>
      <c r="BK5" s="2"/>
      <c r="BS5" s="1"/>
      <c r="BY5" s="2"/>
      <c r="CG5" s="1"/>
      <c r="CM5" s="2"/>
      <c r="CS5" s="2"/>
    </row>
    <row r="6" spans="1:145" ht="13.2" x14ac:dyDescent="0.25">
      <c r="B6" s="365" t="s">
        <v>108</v>
      </c>
      <c r="C6" s="366"/>
      <c r="D6" s="366"/>
      <c r="E6" s="366"/>
      <c r="F6" s="366"/>
      <c r="G6" s="366"/>
      <c r="H6" s="289"/>
      <c r="I6" s="290"/>
      <c r="J6" s="290"/>
      <c r="K6" s="290"/>
      <c r="L6" s="290"/>
      <c r="M6" s="290"/>
      <c r="N6" s="290"/>
      <c r="O6" s="289"/>
      <c r="P6" s="290"/>
      <c r="Q6" s="290"/>
      <c r="R6" s="290"/>
      <c r="S6" s="290"/>
      <c r="T6" s="290"/>
      <c r="U6" s="284"/>
      <c r="V6" s="290"/>
      <c r="W6" s="290"/>
      <c r="X6" s="290"/>
      <c r="Y6" s="290"/>
      <c r="Z6" s="290"/>
      <c r="AA6" s="290"/>
      <c r="AB6" s="290"/>
      <c r="AC6" s="289"/>
      <c r="AD6" s="290"/>
      <c r="AE6" s="290"/>
      <c r="AF6" s="290"/>
      <c r="AG6" s="290"/>
      <c r="AH6" s="290"/>
      <c r="AI6" s="284"/>
      <c r="AJ6" s="290"/>
      <c r="AK6" s="290"/>
      <c r="AL6" s="290"/>
      <c r="AM6" s="290"/>
      <c r="AN6" s="290"/>
      <c r="AO6" s="290"/>
      <c r="AP6" s="290"/>
      <c r="AQ6" s="289"/>
      <c r="AR6" s="290"/>
      <c r="AS6" s="290"/>
      <c r="AT6" s="290"/>
      <c r="AU6" s="290"/>
      <c r="AV6" s="290"/>
      <c r="AW6" s="284"/>
      <c r="AX6" s="290"/>
      <c r="AY6" s="290"/>
      <c r="AZ6" s="290"/>
      <c r="BA6" s="290"/>
      <c r="BB6" s="290"/>
      <c r="BC6" s="290"/>
      <c r="BD6" s="290"/>
      <c r="BE6" s="289"/>
      <c r="BF6" s="290"/>
      <c r="BG6" s="290"/>
      <c r="BH6" s="290"/>
      <c r="BI6" s="290"/>
      <c r="BJ6" s="290"/>
      <c r="BK6" s="284"/>
      <c r="BL6" s="290"/>
      <c r="BM6" s="290"/>
      <c r="BN6" s="290"/>
      <c r="BO6" s="290"/>
      <c r="BP6" s="290"/>
      <c r="BQ6" s="290"/>
      <c r="BR6" s="290"/>
      <c r="BS6" s="289"/>
      <c r="BT6" s="290"/>
      <c r="BU6" s="290"/>
      <c r="BV6" s="290"/>
      <c r="BW6" s="290"/>
      <c r="BX6" s="290"/>
      <c r="BY6" s="284"/>
      <c r="BZ6" s="290"/>
      <c r="CA6" s="290"/>
      <c r="CB6" s="290"/>
      <c r="CC6" s="290"/>
      <c r="CD6" s="290"/>
      <c r="CE6" s="290"/>
      <c r="CF6" s="290"/>
      <c r="CG6" s="289"/>
      <c r="CH6" s="290"/>
      <c r="CI6" s="290"/>
      <c r="CJ6" s="290"/>
      <c r="CK6" s="290"/>
      <c r="CL6" s="290"/>
      <c r="CM6" s="284"/>
      <c r="CN6" s="290"/>
      <c r="CO6" s="290"/>
      <c r="CP6" s="290"/>
      <c r="CQ6" s="290"/>
      <c r="CR6" s="290"/>
      <c r="CS6" s="284"/>
    </row>
    <row r="7" spans="1:145" ht="13.2" x14ac:dyDescent="0.25">
      <c r="B7" s="368" t="s">
        <v>109</v>
      </c>
      <c r="C7" s="369"/>
      <c r="D7" s="369"/>
      <c r="E7" s="369"/>
      <c r="F7" s="369"/>
      <c r="G7" s="370"/>
      <c r="H7" s="289"/>
      <c r="I7" s="290"/>
      <c r="J7" s="290"/>
      <c r="K7" s="290"/>
      <c r="L7" s="290"/>
      <c r="M7" s="290"/>
      <c r="N7" s="290"/>
      <c r="O7" s="289"/>
      <c r="P7" s="290"/>
      <c r="Q7" s="290"/>
      <c r="R7" s="290"/>
      <c r="S7" s="290"/>
      <c r="T7" s="290"/>
      <c r="U7" s="284"/>
      <c r="V7" s="290"/>
      <c r="W7" s="290"/>
      <c r="X7" s="290"/>
      <c r="Y7" s="290"/>
      <c r="Z7" s="290"/>
      <c r="AA7" s="290"/>
      <c r="AB7" s="290"/>
      <c r="AC7" s="289"/>
      <c r="AD7" s="290"/>
      <c r="AE7" s="290"/>
      <c r="AF7" s="290"/>
      <c r="AG7" s="290"/>
      <c r="AH7" s="290"/>
      <c r="AI7" s="284"/>
      <c r="AJ7" s="290"/>
      <c r="AK7" s="290"/>
      <c r="AL7" s="290"/>
      <c r="AM7" s="290"/>
      <c r="AN7" s="290"/>
      <c r="AO7" s="290"/>
      <c r="AP7" s="290"/>
      <c r="AQ7" s="289"/>
      <c r="AR7" s="290"/>
      <c r="AS7" s="290"/>
      <c r="AT7" s="290"/>
      <c r="AU7" s="290"/>
      <c r="AV7" s="290"/>
      <c r="AW7" s="284"/>
      <c r="AX7" s="290"/>
      <c r="AY7" s="290"/>
      <c r="AZ7" s="290"/>
      <c r="BA7" s="290"/>
      <c r="BB7" s="290"/>
      <c r="BC7" s="290"/>
      <c r="BD7" s="290"/>
      <c r="BE7" s="289"/>
      <c r="BF7" s="290"/>
      <c r="BG7" s="290"/>
      <c r="BH7" s="290"/>
      <c r="BI7" s="290"/>
      <c r="BJ7" s="290"/>
      <c r="BK7" s="284"/>
      <c r="BL7" s="290"/>
      <c r="BM7" s="290"/>
      <c r="BN7" s="290"/>
      <c r="BO7" s="290"/>
      <c r="BP7" s="290"/>
      <c r="BQ7" s="290"/>
      <c r="BR7" s="290"/>
      <c r="BS7" s="289"/>
      <c r="BT7" s="290"/>
      <c r="BU7" s="290"/>
      <c r="BV7" s="290"/>
      <c r="BW7" s="290"/>
      <c r="BX7" s="290"/>
      <c r="BY7" s="284"/>
      <c r="BZ7" s="290"/>
      <c r="CA7" s="290"/>
      <c r="CB7" s="290"/>
      <c r="CC7" s="290"/>
      <c r="CD7" s="290"/>
      <c r="CE7" s="290"/>
      <c r="CF7" s="290"/>
      <c r="CG7" s="289"/>
      <c r="CH7" s="290"/>
      <c r="CI7" s="290"/>
      <c r="CJ7" s="290"/>
      <c r="CK7" s="290"/>
      <c r="CL7" s="290"/>
      <c r="CM7" s="284"/>
      <c r="CN7" s="290"/>
      <c r="CO7" s="290"/>
      <c r="CP7" s="290"/>
      <c r="CQ7" s="290"/>
      <c r="CR7" s="290"/>
      <c r="CS7" s="284"/>
    </row>
    <row r="8" spans="1:145" ht="13.2" x14ac:dyDescent="0.25">
      <c r="A8" s="283">
        <v>97629</v>
      </c>
      <c r="B8" s="328" t="s">
        <v>111</v>
      </c>
      <c r="C8" s="244" t="s">
        <v>151</v>
      </c>
      <c r="D8" s="245">
        <f>250.59*0.05</f>
        <v>12.529500000000001</v>
      </c>
      <c r="E8" s="371">
        <f>'5. ORÇAMENTO SINAPE'!H7</f>
        <v>173.29155</v>
      </c>
      <c r="F8" s="372"/>
      <c r="G8" s="294">
        <f>D8*(E8+F8)</f>
        <v>2171.2564757250002</v>
      </c>
      <c r="H8" s="1"/>
      <c r="O8" s="414">
        <f>G8*0.5</f>
        <v>1085.6282378625001</v>
      </c>
      <c r="P8" s="415"/>
      <c r="Q8" s="415"/>
      <c r="R8" s="415"/>
      <c r="S8" s="415"/>
      <c r="T8" s="415"/>
      <c r="U8" s="416"/>
      <c r="V8" s="417">
        <f>G8*0.5</f>
        <v>1085.6282378625001</v>
      </c>
      <c r="W8" s="415"/>
      <c r="X8" s="415"/>
      <c r="Y8" s="415"/>
      <c r="Z8" s="415"/>
      <c r="AA8" s="415"/>
      <c r="AB8" s="415"/>
      <c r="AC8" s="116"/>
      <c r="AI8" s="2"/>
      <c r="AQ8" s="1"/>
      <c r="AW8" s="2"/>
      <c r="BE8" s="1"/>
      <c r="BK8" s="2"/>
      <c r="BS8" s="1"/>
      <c r="BY8" s="2"/>
      <c r="CG8" s="1"/>
      <c r="CM8" s="2"/>
      <c r="CS8" s="2"/>
    </row>
    <row r="9" spans="1:145" ht="14.4" customHeight="1" x14ac:dyDescent="0.25">
      <c r="A9" s="312" t="s">
        <v>147</v>
      </c>
      <c r="B9" s="329" t="s">
        <v>9</v>
      </c>
      <c r="C9" s="313" t="s">
        <v>4</v>
      </c>
      <c r="D9" s="245">
        <v>250.59</v>
      </c>
      <c r="E9" s="373">
        <f>'5. ORÇAMENTO SINAPE'!H8</f>
        <v>294.14370000000002</v>
      </c>
      <c r="F9" s="374"/>
      <c r="G9" s="314">
        <f>D9*(E9+F9)</f>
        <v>73709.469783000008</v>
      </c>
      <c r="H9" s="1"/>
      <c r="O9" s="1"/>
      <c r="U9" s="2"/>
      <c r="V9" s="417">
        <f>G9*0.5</f>
        <v>36854.734891500004</v>
      </c>
      <c r="W9" s="415"/>
      <c r="X9" s="415"/>
      <c r="Y9" s="415"/>
      <c r="Z9" s="415"/>
      <c r="AA9" s="415"/>
      <c r="AB9" s="415"/>
      <c r="AC9" s="414">
        <f>G9*0.5</f>
        <v>36854.734891500004</v>
      </c>
      <c r="AD9" s="415"/>
      <c r="AE9" s="415"/>
      <c r="AF9" s="415"/>
      <c r="AG9" s="415"/>
      <c r="AH9" s="415"/>
      <c r="AI9" s="416"/>
      <c r="AJ9" s="293"/>
      <c r="AK9" s="293"/>
      <c r="AQ9" s="1"/>
      <c r="AW9" s="2"/>
      <c r="BE9" s="1"/>
      <c r="BK9" s="2"/>
      <c r="BS9" s="1"/>
      <c r="BY9" s="2"/>
      <c r="CG9" s="1"/>
      <c r="CM9" s="2"/>
      <c r="CS9" s="2"/>
    </row>
    <row r="10" spans="1:145" ht="13.2" x14ac:dyDescent="0.25">
      <c r="A10" s="283">
        <v>97595</v>
      </c>
      <c r="B10" s="330" t="s">
        <v>13</v>
      </c>
      <c r="C10" s="248" t="s">
        <v>0</v>
      </c>
      <c r="D10" s="249">
        <v>7</v>
      </c>
      <c r="E10" s="391">
        <f>'5. ORÇAMENTO SINAPE'!H9</f>
        <v>151.01850000000002</v>
      </c>
      <c r="F10" s="392"/>
      <c r="G10" s="295">
        <f>D10*(E10+F10)</f>
        <v>1057.1295</v>
      </c>
      <c r="H10" s="1"/>
      <c r="O10" s="1"/>
      <c r="U10" s="2"/>
      <c r="AC10" s="1"/>
      <c r="AI10" s="2"/>
      <c r="AQ10" s="1"/>
      <c r="AW10" s="2"/>
      <c r="AX10" s="426">
        <f>G10*1</f>
        <v>1057.1295</v>
      </c>
      <c r="AY10" s="427"/>
      <c r="AZ10" s="427"/>
      <c r="BA10" s="427"/>
      <c r="BB10" s="427"/>
      <c r="BC10" s="427"/>
      <c r="BD10" s="427"/>
      <c r="BE10" s="1"/>
      <c r="BK10" s="2"/>
      <c r="BS10" s="1"/>
      <c r="BY10" s="2"/>
      <c r="CG10" s="1"/>
      <c r="CM10" s="2"/>
      <c r="CS10" s="2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</row>
    <row r="11" spans="1:145" ht="13.2" x14ac:dyDescent="0.25">
      <c r="A11" s="283">
        <v>91977</v>
      </c>
      <c r="B11" s="330" t="s">
        <v>14</v>
      </c>
      <c r="C11" s="248" t="s">
        <v>0</v>
      </c>
      <c r="D11" s="249">
        <v>2</v>
      </c>
      <c r="E11" s="391">
        <f>'5. ORÇAMENTO SINAPE'!H10</f>
        <v>157.51740000000001</v>
      </c>
      <c r="F11" s="392"/>
      <c r="G11" s="295">
        <f>D11*(E11+F11)</f>
        <v>315.03480000000002</v>
      </c>
      <c r="H11" s="1"/>
      <c r="O11" s="1"/>
      <c r="U11" s="2"/>
      <c r="AC11" s="1"/>
      <c r="AI11" s="2"/>
      <c r="AQ11" s="1"/>
      <c r="AW11" s="2"/>
      <c r="AX11" s="426">
        <f>G11*1</f>
        <v>315.03480000000002</v>
      </c>
      <c r="AY11" s="427"/>
      <c r="AZ11" s="427"/>
      <c r="BA11" s="427"/>
      <c r="BB11" s="427"/>
      <c r="BC11" s="427"/>
      <c r="BD11" s="427"/>
      <c r="BE11" s="1"/>
      <c r="BK11" s="2"/>
      <c r="BS11" s="1"/>
      <c r="BY11" s="2"/>
      <c r="CG11" s="1"/>
      <c r="CM11" s="2"/>
      <c r="CS11" s="2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</row>
    <row r="12" spans="1:145" ht="13.2" x14ac:dyDescent="0.25">
      <c r="B12" s="389" t="s">
        <v>112</v>
      </c>
      <c r="C12" s="390"/>
      <c r="D12" s="390"/>
      <c r="E12" s="390"/>
      <c r="F12" s="390"/>
      <c r="G12" s="390"/>
      <c r="H12" s="289"/>
      <c r="I12" s="290"/>
      <c r="J12" s="290"/>
      <c r="K12" s="290"/>
      <c r="L12" s="290"/>
      <c r="M12" s="290"/>
      <c r="N12" s="290"/>
      <c r="O12" s="289"/>
      <c r="P12" s="290"/>
      <c r="Q12" s="290"/>
      <c r="R12" s="290"/>
      <c r="S12" s="290"/>
      <c r="T12" s="290"/>
      <c r="U12" s="284"/>
      <c r="V12" s="290"/>
      <c r="W12" s="290"/>
      <c r="X12" s="290"/>
      <c r="Y12" s="290"/>
      <c r="Z12" s="290"/>
      <c r="AA12" s="290"/>
      <c r="AB12" s="290"/>
      <c r="AC12" s="289"/>
      <c r="AD12" s="290"/>
      <c r="AE12" s="290"/>
      <c r="AF12" s="290"/>
      <c r="AG12" s="290"/>
      <c r="AH12" s="290"/>
      <c r="AI12" s="284"/>
      <c r="AJ12" s="290"/>
      <c r="AK12" s="290"/>
      <c r="AL12" s="290"/>
      <c r="AM12" s="290"/>
      <c r="AN12" s="290"/>
      <c r="AO12" s="290"/>
      <c r="AP12" s="290"/>
      <c r="AQ12" s="289"/>
      <c r="AR12" s="290"/>
      <c r="AS12" s="290"/>
      <c r="AT12" s="290"/>
      <c r="AU12" s="290"/>
      <c r="AV12" s="290"/>
      <c r="AW12" s="284"/>
      <c r="AX12" s="290"/>
      <c r="AY12" s="290"/>
      <c r="AZ12" s="290"/>
      <c r="BA12" s="290"/>
      <c r="BB12" s="290"/>
      <c r="BC12" s="290"/>
      <c r="BD12" s="290"/>
      <c r="BE12" s="289"/>
      <c r="BF12" s="290"/>
      <c r="BG12" s="290"/>
      <c r="BH12" s="290"/>
      <c r="BI12" s="290"/>
      <c r="BJ12" s="290"/>
      <c r="BK12" s="284"/>
      <c r="BL12" s="290"/>
      <c r="BM12" s="290"/>
      <c r="BN12" s="290"/>
      <c r="BO12" s="290"/>
      <c r="BP12" s="290"/>
      <c r="BQ12" s="290"/>
      <c r="BR12" s="290"/>
      <c r="BS12" s="289"/>
      <c r="BT12" s="290"/>
      <c r="BU12" s="290"/>
      <c r="BV12" s="290"/>
      <c r="BW12" s="290"/>
      <c r="BX12" s="290"/>
      <c r="BY12" s="284"/>
      <c r="BZ12" s="290"/>
      <c r="CA12" s="290"/>
      <c r="CB12" s="290"/>
      <c r="CC12" s="290"/>
      <c r="CD12" s="290"/>
      <c r="CE12" s="290"/>
      <c r="CF12" s="290"/>
      <c r="CG12" s="289"/>
      <c r="CH12" s="290"/>
      <c r="CI12" s="290"/>
      <c r="CJ12" s="290"/>
      <c r="CK12" s="290"/>
      <c r="CL12" s="290"/>
      <c r="CM12" s="284"/>
      <c r="CN12" s="290"/>
      <c r="CO12" s="290"/>
      <c r="CP12" s="290"/>
      <c r="CQ12" s="290"/>
      <c r="CR12" s="290"/>
      <c r="CS12" s="284"/>
    </row>
    <row r="13" spans="1:145" ht="13.2" x14ac:dyDescent="0.25">
      <c r="A13" s="566" t="s">
        <v>246</v>
      </c>
      <c r="B13" s="331" t="s">
        <v>15</v>
      </c>
      <c r="C13" s="250" t="s">
        <v>0</v>
      </c>
      <c r="D13" s="251">
        <v>1</v>
      </c>
      <c r="E13" s="388">
        <f>'5. ORÇAMENTO SINAPE'!H12</f>
        <v>3486.0000000000005</v>
      </c>
      <c r="F13" s="388"/>
      <c r="G13" s="296">
        <f>D13*(E13+F13)</f>
        <v>3486.0000000000005</v>
      </c>
      <c r="H13" s="1"/>
      <c r="O13" s="1"/>
      <c r="U13" s="2"/>
      <c r="AC13" s="1"/>
      <c r="AI13" s="2"/>
      <c r="AQ13" s="1"/>
      <c r="AW13" s="2"/>
      <c r="AX13" s="424">
        <f>G13*1</f>
        <v>3486.0000000000005</v>
      </c>
      <c r="AY13" s="425"/>
      <c r="AZ13" s="425"/>
      <c r="BA13" s="425"/>
      <c r="BB13" s="425"/>
      <c r="BC13" s="425"/>
      <c r="BD13" s="425"/>
      <c r="BE13" s="1"/>
      <c r="BK13" s="2"/>
      <c r="BS13" s="1"/>
      <c r="BY13" s="2"/>
      <c r="CG13" s="1"/>
      <c r="CM13" s="2"/>
      <c r="CS13" s="2"/>
    </row>
    <row r="14" spans="1:145" ht="13.2" x14ac:dyDescent="0.25">
      <c r="A14" s="566" t="s">
        <v>246</v>
      </c>
      <c r="B14" s="331" t="s">
        <v>16</v>
      </c>
      <c r="C14" s="250" t="s">
        <v>0</v>
      </c>
      <c r="D14" s="251">
        <v>1</v>
      </c>
      <c r="E14" s="388">
        <f>'5. ORÇAMENTO SINAPE'!H13</f>
        <v>10022.25</v>
      </c>
      <c r="F14" s="388"/>
      <c r="G14" s="296">
        <f>D14*(E14+F14)</f>
        <v>10022.25</v>
      </c>
      <c r="H14" s="1"/>
      <c r="O14" s="1"/>
      <c r="U14" s="2"/>
      <c r="AC14" s="1"/>
      <c r="AI14" s="2"/>
      <c r="AQ14" s="1"/>
      <c r="AW14" s="2"/>
      <c r="AX14" s="424">
        <f>G14*1</f>
        <v>10022.25</v>
      </c>
      <c r="AY14" s="425"/>
      <c r="AZ14" s="425"/>
      <c r="BA14" s="425"/>
      <c r="BB14" s="425"/>
      <c r="BC14" s="425"/>
      <c r="BD14" s="425"/>
      <c r="BE14" s="1"/>
      <c r="BK14" s="2"/>
      <c r="BS14" s="1"/>
      <c r="BY14" s="2"/>
      <c r="CG14" s="1"/>
      <c r="CM14" s="2"/>
      <c r="CS14" s="2"/>
    </row>
    <row r="15" spans="1:145" ht="13.2" x14ac:dyDescent="0.25">
      <c r="A15" s="566" t="s">
        <v>246</v>
      </c>
      <c r="B15" s="389" t="s">
        <v>113</v>
      </c>
      <c r="C15" s="390"/>
      <c r="D15" s="390"/>
      <c r="E15" s="390"/>
      <c r="F15" s="390"/>
      <c r="G15" s="390"/>
      <c r="H15" s="289"/>
      <c r="I15" s="290"/>
      <c r="J15" s="290"/>
      <c r="K15" s="290"/>
      <c r="L15" s="290"/>
      <c r="M15" s="290"/>
      <c r="N15" s="290"/>
      <c r="O15" s="289"/>
      <c r="P15" s="290"/>
      <c r="Q15" s="290"/>
      <c r="R15" s="290"/>
      <c r="S15" s="290"/>
      <c r="T15" s="290"/>
      <c r="U15" s="284"/>
      <c r="V15" s="290"/>
      <c r="W15" s="290"/>
      <c r="X15" s="290"/>
      <c r="Y15" s="290"/>
      <c r="Z15" s="290"/>
      <c r="AA15" s="290"/>
      <c r="AB15" s="290"/>
      <c r="AC15" s="289"/>
      <c r="AD15" s="290"/>
      <c r="AE15" s="290"/>
      <c r="AF15" s="290"/>
      <c r="AG15" s="290"/>
      <c r="AH15" s="290"/>
      <c r="AI15" s="284"/>
      <c r="AJ15" s="290"/>
      <c r="AK15" s="290"/>
      <c r="AL15" s="290"/>
      <c r="AM15" s="290"/>
      <c r="AN15" s="290"/>
      <c r="AO15" s="290"/>
      <c r="AP15" s="290"/>
      <c r="AQ15" s="289"/>
      <c r="AR15" s="290"/>
      <c r="AS15" s="290"/>
      <c r="AT15" s="290"/>
      <c r="AU15" s="290"/>
      <c r="AV15" s="290"/>
      <c r="AW15" s="284"/>
      <c r="AX15" s="290"/>
      <c r="AY15" s="290"/>
      <c r="AZ15" s="290"/>
      <c r="BA15" s="290"/>
      <c r="BB15" s="290"/>
      <c r="BC15" s="290"/>
      <c r="BD15" s="290"/>
      <c r="BE15" s="289"/>
      <c r="BF15" s="290"/>
      <c r="BG15" s="290"/>
      <c r="BH15" s="290"/>
      <c r="BI15" s="290"/>
      <c r="BJ15" s="290"/>
      <c r="BK15" s="284"/>
      <c r="BL15" s="290"/>
      <c r="BM15" s="290"/>
      <c r="BN15" s="290"/>
      <c r="BO15" s="290"/>
      <c r="BP15" s="290"/>
      <c r="BQ15" s="290"/>
      <c r="BR15" s="290"/>
      <c r="BS15" s="289"/>
      <c r="BT15" s="290"/>
      <c r="BU15" s="290"/>
      <c r="BV15" s="290"/>
      <c r="BW15" s="290"/>
      <c r="BX15" s="290"/>
      <c r="BY15" s="284"/>
      <c r="BZ15" s="290"/>
      <c r="CA15" s="290"/>
      <c r="CB15" s="290"/>
      <c r="CC15" s="290"/>
      <c r="CD15" s="290"/>
      <c r="CE15" s="290"/>
      <c r="CF15" s="290"/>
      <c r="CG15" s="289"/>
      <c r="CH15" s="290"/>
      <c r="CI15" s="290"/>
      <c r="CJ15" s="290"/>
      <c r="CK15" s="290"/>
      <c r="CL15" s="290"/>
      <c r="CM15" s="284"/>
      <c r="CN15" s="290"/>
      <c r="CO15" s="290"/>
      <c r="CP15" s="290"/>
      <c r="CQ15" s="290"/>
      <c r="CR15" s="290"/>
      <c r="CS15" s="284"/>
    </row>
    <row r="16" spans="1:145" ht="13.2" x14ac:dyDescent="0.25">
      <c r="A16" s="283">
        <v>97334</v>
      </c>
      <c r="B16" s="328" t="s">
        <v>118</v>
      </c>
      <c r="C16" s="244" t="s">
        <v>17</v>
      </c>
      <c r="D16" s="245">
        <f>5.2+5.25+6.2+6.2+5.35+6</f>
        <v>34.199999999999996</v>
      </c>
      <c r="E16" s="371">
        <f>'5. ORÇAMENTO SINAPE'!H15</f>
        <v>100.23495000000001</v>
      </c>
      <c r="F16" s="372"/>
      <c r="G16" s="294">
        <f>D16*(E16+F16)</f>
        <v>3428.0352899999998</v>
      </c>
      <c r="H16" s="1"/>
      <c r="O16" s="1"/>
      <c r="U16" s="2"/>
      <c r="AC16" s="1"/>
      <c r="AI16" s="2"/>
      <c r="AQ16" s="414">
        <f>G16*1</f>
        <v>3428.0352899999998</v>
      </c>
      <c r="AR16" s="415"/>
      <c r="AS16" s="415"/>
      <c r="AT16" s="415"/>
      <c r="AU16" s="415"/>
      <c r="AV16" s="415"/>
      <c r="AW16" s="416"/>
      <c r="BE16" s="1"/>
      <c r="BK16" s="2"/>
      <c r="BS16" s="1"/>
      <c r="BY16" s="2"/>
      <c r="CG16" s="1"/>
      <c r="CM16" s="2"/>
      <c r="CS16" s="2"/>
    </row>
    <row r="17" spans="1:97" ht="13.2" x14ac:dyDescent="0.25">
      <c r="A17" s="283">
        <v>89580</v>
      </c>
      <c r="B17" s="328" t="s">
        <v>119</v>
      </c>
      <c r="C17" s="244" t="s">
        <v>17</v>
      </c>
      <c r="D17" s="245">
        <f>5.2+3</f>
        <v>8.1999999999999993</v>
      </c>
      <c r="E17" s="371">
        <f>'5. ORÇAMENTO SINAPE'!H16</f>
        <v>138.78015000000002</v>
      </c>
      <c r="F17" s="372"/>
      <c r="G17" s="294">
        <f>D17*(E17+F17)</f>
        <v>1137.9972300000002</v>
      </c>
      <c r="H17" s="1"/>
      <c r="O17" s="1"/>
      <c r="U17" s="2"/>
      <c r="AC17" s="1"/>
      <c r="AI17" s="2"/>
      <c r="AQ17" s="414">
        <f>G17*1</f>
        <v>1137.9972300000002</v>
      </c>
      <c r="AR17" s="415"/>
      <c r="AS17" s="415"/>
      <c r="AT17" s="415"/>
      <c r="AU17" s="415"/>
      <c r="AV17" s="415"/>
      <c r="AW17" s="416"/>
      <c r="BE17" s="1"/>
      <c r="BK17" s="2"/>
      <c r="BS17" s="1"/>
      <c r="BY17" s="2"/>
      <c r="CG17" s="1"/>
      <c r="CM17" s="2"/>
      <c r="CS17" s="2"/>
    </row>
    <row r="18" spans="1:97" ht="13.2" x14ac:dyDescent="0.25">
      <c r="B18" s="389" t="s">
        <v>114</v>
      </c>
      <c r="C18" s="390"/>
      <c r="D18" s="390"/>
      <c r="E18" s="390"/>
      <c r="F18" s="390"/>
      <c r="G18" s="390"/>
      <c r="H18" s="289"/>
      <c r="I18" s="290"/>
      <c r="J18" s="290"/>
      <c r="K18" s="290"/>
      <c r="L18" s="290"/>
      <c r="M18" s="290"/>
      <c r="N18" s="290"/>
      <c r="O18" s="289"/>
      <c r="P18" s="290"/>
      <c r="Q18" s="290"/>
      <c r="R18" s="290"/>
      <c r="S18" s="290"/>
      <c r="T18" s="290"/>
      <c r="U18" s="284"/>
      <c r="V18" s="290"/>
      <c r="W18" s="290"/>
      <c r="X18" s="290"/>
      <c r="Y18" s="290"/>
      <c r="Z18" s="290"/>
      <c r="AA18" s="290"/>
      <c r="AB18" s="290"/>
      <c r="AC18" s="289"/>
      <c r="AD18" s="290"/>
      <c r="AE18" s="290"/>
      <c r="AF18" s="290"/>
      <c r="AG18" s="290"/>
      <c r="AH18" s="290"/>
      <c r="AI18" s="284"/>
      <c r="AJ18" s="290"/>
      <c r="AK18" s="290"/>
      <c r="AL18" s="290"/>
      <c r="AM18" s="290"/>
      <c r="AN18" s="290"/>
      <c r="AO18" s="290"/>
      <c r="AP18" s="290"/>
      <c r="AQ18" s="289"/>
      <c r="AR18" s="290"/>
      <c r="AS18" s="290"/>
      <c r="AT18" s="290"/>
      <c r="AU18" s="290"/>
      <c r="AV18" s="290"/>
      <c r="AW18" s="284"/>
      <c r="AX18" s="290"/>
      <c r="AY18" s="290"/>
      <c r="AZ18" s="290"/>
      <c r="BA18" s="290"/>
      <c r="BB18" s="290"/>
      <c r="BC18" s="290"/>
      <c r="BD18" s="290"/>
      <c r="BE18" s="289"/>
      <c r="BF18" s="290"/>
      <c r="BG18" s="290"/>
      <c r="BH18" s="290"/>
      <c r="BI18" s="290"/>
      <c r="BJ18" s="290"/>
      <c r="BK18" s="284"/>
      <c r="BL18" s="290"/>
      <c r="BM18" s="290"/>
      <c r="BN18" s="290"/>
      <c r="BO18" s="290"/>
      <c r="BP18" s="290"/>
      <c r="BQ18" s="290"/>
      <c r="BR18" s="290"/>
      <c r="BS18" s="289"/>
      <c r="BT18" s="290"/>
      <c r="BU18" s="290"/>
      <c r="BV18" s="290"/>
      <c r="BW18" s="290"/>
      <c r="BX18" s="290"/>
      <c r="BY18" s="284"/>
      <c r="BZ18" s="290"/>
      <c r="CA18" s="290"/>
      <c r="CB18" s="290"/>
      <c r="CC18" s="290"/>
      <c r="CD18" s="290"/>
      <c r="CE18" s="290"/>
      <c r="CF18" s="290"/>
      <c r="CG18" s="289"/>
      <c r="CH18" s="290"/>
      <c r="CI18" s="290"/>
      <c r="CJ18" s="290"/>
      <c r="CK18" s="290"/>
      <c r="CL18" s="290"/>
      <c r="CM18" s="284"/>
      <c r="CN18" s="290"/>
      <c r="CO18" s="290"/>
      <c r="CP18" s="290"/>
      <c r="CQ18" s="290"/>
      <c r="CR18" s="290"/>
      <c r="CS18" s="284"/>
    </row>
    <row r="19" spans="1:97" ht="13.2" x14ac:dyDescent="0.25">
      <c r="A19" s="566" t="s">
        <v>246</v>
      </c>
      <c r="B19" s="332" t="s">
        <v>152</v>
      </c>
      <c r="C19" s="246" t="s">
        <v>0</v>
      </c>
      <c r="D19" s="247">
        <f>4*4</f>
        <v>16</v>
      </c>
      <c r="E19" s="395">
        <f>'5. ORÇAMENTO SINAPE'!H18</f>
        <v>39.591000000000001</v>
      </c>
      <c r="F19" s="396"/>
      <c r="G19" s="297">
        <f>D19*(E19+F19)</f>
        <v>633.45600000000002</v>
      </c>
      <c r="H19" s="1"/>
      <c r="O19" s="1"/>
      <c r="U19" s="2"/>
      <c r="AC19" s="1"/>
      <c r="AI19" s="2"/>
      <c r="AQ19" s="1"/>
      <c r="AW19" s="2"/>
      <c r="BE19" s="431">
        <f>G19*1</f>
        <v>633.45600000000002</v>
      </c>
      <c r="BF19" s="432"/>
      <c r="BG19" s="432"/>
      <c r="BH19" s="432"/>
      <c r="BI19" s="432"/>
      <c r="BJ19" s="432"/>
      <c r="BK19" s="433"/>
      <c r="BS19" s="1"/>
      <c r="BY19" s="2"/>
      <c r="CG19" s="1"/>
      <c r="CM19" s="2"/>
      <c r="CS19" s="2"/>
    </row>
    <row r="20" spans="1:97" ht="13.2" x14ac:dyDescent="0.25">
      <c r="A20" s="283">
        <v>102500</v>
      </c>
      <c r="B20" s="333" t="s">
        <v>10</v>
      </c>
      <c r="C20" s="246" t="s">
        <v>17</v>
      </c>
      <c r="D20" s="247">
        <f>6.2*12</f>
        <v>74.400000000000006</v>
      </c>
      <c r="E20" s="395">
        <f>'5. ORÇAMENTO SINAPE'!H19</f>
        <v>5.9262000000000006</v>
      </c>
      <c r="F20" s="396"/>
      <c r="G20" s="297">
        <f>D20*(E20+F20)</f>
        <v>440.90928000000008</v>
      </c>
      <c r="H20" s="1"/>
      <c r="O20" s="1"/>
      <c r="U20" s="2"/>
      <c r="AC20" s="1"/>
      <c r="AI20" s="2"/>
      <c r="AQ20" s="1"/>
      <c r="AW20" s="2"/>
      <c r="BE20" s="431">
        <f>G20*1</f>
        <v>440.90928000000008</v>
      </c>
      <c r="BF20" s="432"/>
      <c r="BG20" s="432"/>
      <c r="BH20" s="432"/>
      <c r="BI20" s="432"/>
      <c r="BJ20" s="432"/>
      <c r="BK20" s="433"/>
      <c r="BS20" s="1"/>
      <c r="BY20" s="2"/>
      <c r="CG20" s="1"/>
      <c r="CM20" s="2"/>
      <c r="CS20" s="2"/>
    </row>
    <row r="21" spans="1:97" ht="13.2" x14ac:dyDescent="0.25">
      <c r="B21" s="393" t="s">
        <v>110</v>
      </c>
      <c r="C21" s="394"/>
      <c r="D21" s="394"/>
      <c r="E21" s="394"/>
      <c r="F21" s="394"/>
      <c r="G21" s="394"/>
      <c r="H21" s="289"/>
      <c r="I21" s="290"/>
      <c r="J21" s="290"/>
      <c r="K21" s="290"/>
      <c r="L21" s="290"/>
      <c r="M21" s="290"/>
      <c r="N21" s="290"/>
      <c r="O21" s="289"/>
      <c r="P21" s="290"/>
      <c r="Q21" s="290"/>
      <c r="R21" s="290"/>
      <c r="S21" s="290"/>
      <c r="T21" s="290"/>
      <c r="U21" s="284"/>
      <c r="V21" s="290"/>
      <c r="W21" s="290"/>
      <c r="X21" s="290"/>
      <c r="Y21" s="290"/>
      <c r="Z21" s="290"/>
      <c r="AA21" s="290"/>
      <c r="AB21" s="290"/>
      <c r="AC21" s="289"/>
      <c r="AD21" s="290"/>
      <c r="AE21" s="290"/>
      <c r="AF21" s="290"/>
      <c r="AG21" s="290"/>
      <c r="AH21" s="290"/>
      <c r="AI21" s="284"/>
      <c r="AJ21" s="290"/>
      <c r="AK21" s="290"/>
      <c r="AL21" s="290"/>
      <c r="AM21" s="290"/>
      <c r="AN21" s="290"/>
      <c r="AO21" s="290"/>
      <c r="AP21" s="290"/>
      <c r="AQ21" s="289"/>
      <c r="AR21" s="290"/>
      <c r="AS21" s="290"/>
      <c r="AT21" s="290"/>
      <c r="AU21" s="290"/>
      <c r="AV21" s="290"/>
      <c r="AW21" s="284"/>
      <c r="AX21" s="290"/>
      <c r="AY21" s="290"/>
      <c r="AZ21" s="290"/>
      <c r="BA21" s="290"/>
      <c r="BB21" s="290"/>
      <c r="BC21" s="290"/>
      <c r="BD21" s="290"/>
      <c r="BE21" s="289"/>
      <c r="BF21" s="290"/>
      <c r="BG21" s="290"/>
      <c r="BH21" s="290"/>
      <c r="BI21" s="290"/>
      <c r="BJ21" s="290"/>
      <c r="BK21" s="284"/>
      <c r="BL21" s="290"/>
      <c r="BM21" s="290"/>
      <c r="BN21" s="290"/>
      <c r="BO21" s="290"/>
      <c r="BP21" s="290"/>
      <c r="BQ21" s="290"/>
      <c r="BR21" s="290"/>
      <c r="BS21" s="289"/>
      <c r="BT21" s="290"/>
      <c r="BU21" s="290"/>
      <c r="BV21" s="290"/>
      <c r="BW21" s="290"/>
      <c r="BX21" s="290"/>
      <c r="BY21" s="284"/>
      <c r="BZ21" s="290"/>
      <c r="CA21" s="290"/>
      <c r="CB21" s="290"/>
      <c r="CC21" s="290"/>
      <c r="CD21" s="290"/>
      <c r="CE21" s="290"/>
      <c r="CF21" s="290"/>
      <c r="CG21" s="289"/>
      <c r="CH21" s="290"/>
      <c r="CI21" s="290"/>
      <c r="CJ21" s="290"/>
      <c r="CK21" s="290"/>
      <c r="CL21" s="290"/>
      <c r="CM21" s="284"/>
      <c r="CN21" s="290"/>
      <c r="CO21" s="290"/>
      <c r="CP21" s="290"/>
      <c r="CQ21" s="290"/>
      <c r="CR21" s="290"/>
      <c r="CS21" s="284"/>
    </row>
    <row r="22" spans="1:97" ht="13.2" x14ac:dyDescent="0.25">
      <c r="B22" s="393" t="s">
        <v>154</v>
      </c>
      <c r="C22" s="394"/>
      <c r="D22" s="394"/>
      <c r="E22" s="394"/>
      <c r="F22" s="394"/>
      <c r="G22" s="394"/>
      <c r="H22" s="289"/>
      <c r="I22" s="290"/>
      <c r="J22" s="290"/>
      <c r="K22" s="290"/>
      <c r="L22" s="290"/>
      <c r="M22" s="290"/>
      <c r="N22" s="290"/>
      <c r="O22" s="289"/>
      <c r="P22" s="290"/>
      <c r="Q22" s="290"/>
      <c r="R22" s="290"/>
      <c r="S22" s="290"/>
      <c r="T22" s="290"/>
      <c r="U22" s="284"/>
      <c r="V22" s="290"/>
      <c r="W22" s="290"/>
      <c r="X22" s="290"/>
      <c r="Y22" s="290"/>
      <c r="Z22" s="290"/>
      <c r="AA22" s="290"/>
      <c r="AB22" s="290"/>
      <c r="AC22" s="289"/>
      <c r="AD22" s="290"/>
      <c r="AE22" s="290"/>
      <c r="AF22" s="290"/>
      <c r="AG22" s="290"/>
      <c r="AH22" s="290"/>
      <c r="AI22" s="284"/>
      <c r="AJ22" s="290"/>
      <c r="AK22" s="290"/>
      <c r="AL22" s="290"/>
      <c r="AM22" s="290"/>
      <c r="AN22" s="290"/>
      <c r="AO22" s="290"/>
      <c r="AP22" s="290"/>
      <c r="AQ22" s="289"/>
      <c r="AR22" s="290"/>
      <c r="AS22" s="290"/>
      <c r="AT22" s="290"/>
      <c r="AU22" s="290"/>
      <c r="AV22" s="290"/>
      <c r="AW22" s="284"/>
      <c r="AX22" s="290"/>
      <c r="AY22" s="290"/>
      <c r="AZ22" s="290"/>
      <c r="BA22" s="290"/>
      <c r="BB22" s="290"/>
      <c r="BC22" s="290"/>
      <c r="BD22" s="290"/>
      <c r="BE22" s="289"/>
      <c r="BF22" s="290"/>
      <c r="BG22" s="290"/>
      <c r="BH22" s="290"/>
      <c r="BI22" s="290"/>
      <c r="BJ22" s="290"/>
      <c r="BK22" s="284"/>
      <c r="BL22" s="290"/>
      <c r="BM22" s="290"/>
      <c r="BN22" s="290"/>
      <c r="BO22" s="290"/>
      <c r="BP22" s="290"/>
      <c r="BQ22" s="290"/>
      <c r="BR22" s="290"/>
      <c r="BS22" s="289"/>
      <c r="BT22" s="290"/>
      <c r="BU22" s="290"/>
      <c r="BV22" s="290"/>
      <c r="BW22" s="290"/>
      <c r="BX22" s="290"/>
      <c r="BY22" s="284"/>
      <c r="BZ22" s="290"/>
      <c r="CA22" s="290"/>
      <c r="CB22" s="290"/>
      <c r="CC22" s="290"/>
      <c r="CD22" s="290"/>
      <c r="CE22" s="290"/>
      <c r="CF22" s="290"/>
      <c r="CG22" s="289"/>
      <c r="CH22" s="290"/>
      <c r="CI22" s="290"/>
      <c r="CJ22" s="290"/>
      <c r="CK22" s="290"/>
      <c r="CL22" s="290"/>
      <c r="CM22" s="284"/>
      <c r="CN22" s="290"/>
      <c r="CO22" s="290"/>
      <c r="CP22" s="290"/>
      <c r="CQ22" s="290"/>
      <c r="CR22" s="290"/>
      <c r="CS22" s="284"/>
    </row>
    <row r="23" spans="1:97" ht="13.2" x14ac:dyDescent="0.25">
      <c r="A23" s="566" t="s">
        <v>246</v>
      </c>
      <c r="B23" s="328" t="s">
        <v>116</v>
      </c>
      <c r="C23" s="252" t="s">
        <v>0</v>
      </c>
      <c r="D23" s="253">
        <v>4</v>
      </c>
      <c r="E23" s="371">
        <f>'5. ORÇAMENTO SINAPE'!H22</f>
        <v>273.90000000000003</v>
      </c>
      <c r="F23" s="372"/>
      <c r="G23" s="294">
        <f>D23*E23</f>
        <v>1095.6000000000001</v>
      </c>
      <c r="H23" s="1"/>
      <c r="O23" s="1"/>
      <c r="U23" s="2"/>
      <c r="AC23" s="414">
        <f>G23*1</f>
        <v>1095.6000000000001</v>
      </c>
      <c r="AD23" s="415"/>
      <c r="AE23" s="415"/>
      <c r="AF23" s="415"/>
      <c r="AG23" s="415"/>
      <c r="AH23" s="415"/>
      <c r="AI23" s="416"/>
      <c r="AJ23" s="109"/>
      <c r="AQ23" s="1"/>
      <c r="AW23" s="2"/>
      <c r="BE23" s="1"/>
      <c r="BK23" s="2"/>
      <c r="BS23" s="1"/>
      <c r="BY23" s="2"/>
      <c r="CG23" s="1"/>
      <c r="CM23" s="2"/>
      <c r="CS23" s="2"/>
    </row>
    <row r="24" spans="1:97" ht="13.2" x14ac:dyDescent="0.25">
      <c r="A24" s="283">
        <v>88484</v>
      </c>
      <c r="B24" s="333" t="s">
        <v>115</v>
      </c>
      <c r="C24" s="279" t="s">
        <v>4</v>
      </c>
      <c r="D24" s="278">
        <f>7.19*3*2</f>
        <v>43.14</v>
      </c>
      <c r="E24" s="395">
        <f>'5. ORÇAMENTO SINAPE'!H23</f>
        <v>4.6812000000000005</v>
      </c>
      <c r="F24" s="396"/>
      <c r="G24" s="297">
        <f>D24*(E24+F24)</f>
        <v>201.94696800000003</v>
      </c>
      <c r="H24" s="1"/>
      <c r="O24" s="1"/>
      <c r="U24" s="2"/>
      <c r="AC24" s="280"/>
      <c r="AD24" s="285"/>
      <c r="AE24" s="285"/>
      <c r="AF24" s="285"/>
      <c r="AG24" s="285"/>
      <c r="AH24" s="285"/>
      <c r="AI24" s="281"/>
      <c r="AJ24" s="428">
        <f>G24*1</f>
        <v>201.94696800000003</v>
      </c>
      <c r="AK24" s="428"/>
      <c r="AL24" s="428"/>
      <c r="AM24" s="428"/>
      <c r="AN24" s="428"/>
      <c r="AO24" s="428"/>
      <c r="AP24" s="428"/>
      <c r="AQ24" s="1"/>
      <c r="AW24" s="2"/>
      <c r="BE24" s="1"/>
      <c r="BK24" s="2"/>
      <c r="BS24" s="1"/>
      <c r="BY24" s="2"/>
      <c r="CG24" s="1"/>
      <c r="CM24" s="2"/>
      <c r="CS24" s="2"/>
    </row>
    <row r="25" spans="1:97" ht="13.2" x14ac:dyDescent="0.25">
      <c r="A25" s="283" t="s">
        <v>149</v>
      </c>
      <c r="B25" s="333" t="s">
        <v>54</v>
      </c>
      <c r="C25" s="246" t="s">
        <v>4</v>
      </c>
      <c r="D25" s="278">
        <f>7.19*3*2</f>
        <v>43.14</v>
      </c>
      <c r="E25" s="395">
        <f>'5. ORÇAMENTO SINAPE'!H24</f>
        <v>52.277549999999998</v>
      </c>
      <c r="F25" s="396"/>
      <c r="G25" s="297">
        <f>D25*(E25+F25)</f>
        <v>2255.2535069999999</v>
      </c>
      <c r="H25" s="1"/>
      <c r="O25" s="1"/>
      <c r="U25" s="2"/>
      <c r="AC25" s="1"/>
      <c r="AI25" s="2"/>
      <c r="AJ25" s="428">
        <f>G25*1</f>
        <v>2255.2535069999999</v>
      </c>
      <c r="AK25" s="428"/>
      <c r="AL25" s="428"/>
      <c r="AM25" s="428"/>
      <c r="AN25" s="428"/>
      <c r="AO25" s="428"/>
      <c r="AP25" s="428"/>
      <c r="AQ25" s="1"/>
      <c r="AW25" s="2"/>
      <c r="BE25" s="1"/>
      <c r="BK25" s="2"/>
      <c r="BL25" s="429"/>
      <c r="BM25" s="430"/>
      <c r="BN25" s="430"/>
      <c r="BO25" s="430"/>
      <c r="BP25" s="430"/>
      <c r="BQ25" s="430"/>
      <c r="BR25" s="430"/>
      <c r="BS25" s="438"/>
      <c r="BT25" s="430"/>
      <c r="BU25" s="430"/>
      <c r="BV25" s="430"/>
      <c r="BW25" s="430"/>
      <c r="BX25" s="430"/>
      <c r="BY25" s="439"/>
      <c r="BZ25" s="429"/>
      <c r="CA25" s="430"/>
      <c r="CB25" s="430"/>
      <c r="CC25" s="430"/>
      <c r="CD25" s="430"/>
      <c r="CE25" s="430"/>
      <c r="CF25" s="430"/>
      <c r="CG25" s="438"/>
      <c r="CH25" s="430"/>
      <c r="CI25" s="430"/>
      <c r="CJ25" s="430"/>
      <c r="CK25" s="430"/>
      <c r="CL25" s="430"/>
      <c r="CM25" s="439"/>
      <c r="CS25" s="2"/>
    </row>
    <row r="26" spans="1:97" ht="13.2" x14ac:dyDescent="0.25">
      <c r="B26" s="365" t="s">
        <v>117</v>
      </c>
      <c r="C26" s="366"/>
      <c r="D26" s="366"/>
      <c r="E26" s="366"/>
      <c r="F26" s="366"/>
      <c r="G26" s="366"/>
      <c r="H26" s="289"/>
      <c r="I26" s="290"/>
      <c r="J26" s="290"/>
      <c r="K26" s="290"/>
      <c r="L26" s="290"/>
      <c r="M26" s="290"/>
      <c r="N26" s="290"/>
      <c r="O26" s="289"/>
      <c r="P26" s="290"/>
      <c r="Q26" s="290"/>
      <c r="R26" s="290"/>
      <c r="S26" s="290"/>
      <c r="T26" s="290"/>
      <c r="U26" s="284"/>
      <c r="V26" s="290"/>
      <c r="W26" s="290"/>
      <c r="X26" s="290"/>
      <c r="Y26" s="290"/>
      <c r="Z26" s="290"/>
      <c r="AA26" s="290"/>
      <c r="AB26" s="290"/>
      <c r="AC26" s="289"/>
      <c r="AD26" s="290"/>
      <c r="AE26" s="290"/>
      <c r="AF26" s="290"/>
      <c r="AG26" s="290"/>
      <c r="AH26" s="290"/>
      <c r="AI26" s="284"/>
      <c r="AJ26" s="290"/>
      <c r="AK26" s="290"/>
      <c r="AL26" s="290"/>
      <c r="AM26" s="290"/>
      <c r="AN26" s="290"/>
      <c r="AO26" s="290"/>
      <c r="AP26" s="290"/>
      <c r="AQ26" s="289"/>
      <c r="AR26" s="290"/>
      <c r="AS26" s="290"/>
      <c r="AT26" s="290"/>
      <c r="AU26" s="290"/>
      <c r="AV26" s="290"/>
      <c r="AW26" s="284"/>
      <c r="AX26" s="290"/>
      <c r="AY26" s="290"/>
      <c r="AZ26" s="290"/>
      <c r="BA26" s="290"/>
      <c r="BB26" s="290"/>
      <c r="BC26" s="290"/>
      <c r="BD26" s="290"/>
      <c r="BE26" s="289"/>
      <c r="BF26" s="290"/>
      <c r="BG26" s="290"/>
      <c r="BH26" s="290"/>
      <c r="BI26" s="290"/>
      <c r="BJ26" s="290"/>
      <c r="BK26" s="284"/>
      <c r="BL26" s="290"/>
      <c r="BM26" s="290"/>
      <c r="BN26" s="290"/>
      <c r="BO26" s="290"/>
      <c r="BP26" s="290"/>
      <c r="BQ26" s="290"/>
      <c r="BR26" s="290"/>
      <c r="BS26" s="289"/>
      <c r="BT26" s="290"/>
      <c r="BU26" s="290"/>
      <c r="BV26" s="290"/>
      <c r="BW26" s="290"/>
      <c r="BX26" s="290"/>
      <c r="BY26" s="284"/>
      <c r="BZ26" s="290"/>
      <c r="CA26" s="290"/>
      <c r="CB26" s="290"/>
      <c r="CC26" s="290"/>
      <c r="CD26" s="290"/>
      <c r="CE26" s="290"/>
      <c r="CF26" s="290"/>
      <c r="CG26" s="289"/>
      <c r="CH26" s="290"/>
      <c r="CI26" s="290"/>
      <c r="CJ26" s="290"/>
      <c r="CK26" s="290"/>
      <c r="CL26" s="290"/>
      <c r="CM26" s="284"/>
      <c r="CN26" s="290"/>
      <c r="CO26" s="290"/>
      <c r="CP26" s="290"/>
      <c r="CQ26" s="290"/>
      <c r="CR26" s="290"/>
      <c r="CS26" s="284"/>
    </row>
    <row r="27" spans="1:97" ht="13.2" x14ac:dyDescent="0.25">
      <c r="B27" s="365" t="s">
        <v>155</v>
      </c>
      <c r="C27" s="366"/>
      <c r="D27" s="366"/>
      <c r="E27" s="366"/>
      <c r="F27" s="366"/>
      <c r="G27" s="366"/>
      <c r="H27" s="289"/>
      <c r="I27" s="290"/>
      <c r="J27" s="290"/>
      <c r="K27" s="290"/>
      <c r="L27" s="290"/>
      <c r="M27" s="290"/>
      <c r="N27" s="290"/>
      <c r="O27" s="289"/>
      <c r="P27" s="290"/>
      <c r="Q27" s="290"/>
      <c r="R27" s="290"/>
      <c r="S27" s="290"/>
      <c r="T27" s="290"/>
      <c r="U27" s="284"/>
      <c r="V27" s="290"/>
      <c r="W27" s="290"/>
      <c r="X27" s="290"/>
      <c r="Y27" s="290"/>
      <c r="Z27" s="290"/>
      <c r="AA27" s="290"/>
      <c r="AB27" s="290"/>
      <c r="AC27" s="289"/>
      <c r="AD27" s="290"/>
      <c r="AE27" s="290"/>
      <c r="AF27" s="290"/>
      <c r="AG27" s="290"/>
      <c r="AH27" s="290"/>
      <c r="AI27" s="284"/>
      <c r="AJ27" s="290"/>
      <c r="AK27" s="290"/>
      <c r="AL27" s="290"/>
      <c r="AM27" s="290"/>
      <c r="AN27" s="290"/>
      <c r="AO27" s="290"/>
      <c r="AP27" s="290"/>
      <c r="AQ27" s="289"/>
      <c r="AR27" s="290"/>
      <c r="AS27" s="290"/>
      <c r="AT27" s="290"/>
      <c r="AU27" s="290"/>
      <c r="AV27" s="290"/>
      <c r="AW27" s="284"/>
      <c r="AX27" s="290"/>
      <c r="AY27" s="290"/>
      <c r="AZ27" s="290"/>
      <c r="BA27" s="290"/>
      <c r="BB27" s="290"/>
      <c r="BC27" s="290"/>
      <c r="BD27" s="290"/>
      <c r="BE27" s="289"/>
      <c r="BF27" s="290"/>
      <c r="BG27" s="290"/>
      <c r="BH27" s="290"/>
      <c r="BI27" s="290"/>
      <c r="BJ27" s="290"/>
      <c r="BK27" s="284"/>
      <c r="BL27" s="290"/>
      <c r="BM27" s="290"/>
      <c r="BN27" s="290"/>
      <c r="BO27" s="290"/>
      <c r="BP27" s="290"/>
      <c r="BQ27" s="290"/>
      <c r="BR27" s="290"/>
      <c r="BS27" s="289"/>
      <c r="BT27" s="290"/>
      <c r="BU27" s="290"/>
      <c r="BV27" s="290"/>
      <c r="BW27" s="290"/>
      <c r="BX27" s="290"/>
      <c r="BY27" s="284"/>
      <c r="BZ27" s="290"/>
      <c r="CA27" s="290"/>
      <c r="CB27" s="290"/>
      <c r="CC27" s="290"/>
      <c r="CD27" s="290"/>
      <c r="CE27" s="290"/>
      <c r="CF27" s="290"/>
      <c r="CG27" s="289"/>
      <c r="CH27" s="290"/>
      <c r="CI27" s="290"/>
      <c r="CJ27" s="290"/>
      <c r="CK27" s="290"/>
      <c r="CL27" s="290"/>
      <c r="CM27" s="284"/>
      <c r="CN27" s="290"/>
      <c r="CO27" s="290"/>
      <c r="CP27" s="290"/>
      <c r="CQ27" s="290"/>
      <c r="CR27" s="290"/>
      <c r="CS27" s="284"/>
    </row>
    <row r="28" spans="1:97" ht="13.2" x14ac:dyDescent="0.25">
      <c r="A28" s="283">
        <v>100699</v>
      </c>
      <c r="B28" s="334" t="s">
        <v>22</v>
      </c>
      <c r="C28" s="254" t="s">
        <v>0</v>
      </c>
      <c r="D28" s="255">
        <v>7</v>
      </c>
      <c r="E28" s="397">
        <f>'5. ORÇAMENTO SINAPE'!$H$27</f>
        <v>132.75435000000002</v>
      </c>
      <c r="F28" s="398"/>
      <c r="G28" s="298">
        <f>D28*(E28+F28)</f>
        <v>929.28045000000009</v>
      </c>
      <c r="H28" s="1"/>
      <c r="O28" s="1"/>
      <c r="U28" s="2"/>
      <c r="AC28" s="1"/>
      <c r="AI28" s="2"/>
      <c r="AQ28" s="1"/>
      <c r="AW28" s="2"/>
      <c r="BE28" s="1"/>
      <c r="BK28" s="2"/>
      <c r="BS28" s="1"/>
      <c r="BY28" s="2"/>
      <c r="BZ28" s="440">
        <f>G28*0.5</f>
        <v>464.64022500000004</v>
      </c>
      <c r="CA28" s="441"/>
      <c r="CB28" s="441"/>
      <c r="CC28" s="441"/>
      <c r="CD28" s="441"/>
      <c r="CE28" s="441"/>
      <c r="CF28" s="441"/>
      <c r="CG28" s="442">
        <f>G28*0.5</f>
        <v>464.64022500000004</v>
      </c>
      <c r="CH28" s="441"/>
      <c r="CI28" s="441"/>
      <c r="CJ28" s="441"/>
      <c r="CK28" s="441"/>
      <c r="CL28" s="441"/>
      <c r="CM28" s="443"/>
      <c r="CS28" s="2"/>
    </row>
    <row r="29" spans="1:97" ht="13.2" x14ac:dyDescent="0.25">
      <c r="B29" s="365" t="s">
        <v>156</v>
      </c>
      <c r="C29" s="366"/>
      <c r="D29" s="366"/>
      <c r="E29" s="366"/>
      <c r="F29" s="366"/>
      <c r="G29" s="366"/>
      <c r="H29" s="289"/>
      <c r="I29" s="290"/>
      <c r="J29" s="290"/>
      <c r="K29" s="290"/>
      <c r="L29" s="290"/>
      <c r="M29" s="290"/>
      <c r="N29" s="290"/>
      <c r="O29" s="289"/>
      <c r="P29" s="290"/>
      <c r="Q29" s="290"/>
      <c r="R29" s="290"/>
      <c r="S29" s="290"/>
      <c r="T29" s="290"/>
      <c r="U29" s="284"/>
      <c r="V29" s="290"/>
      <c r="W29" s="290"/>
      <c r="X29" s="290"/>
      <c r="Y29" s="290"/>
      <c r="Z29" s="290"/>
      <c r="AA29" s="290"/>
      <c r="AB29" s="290"/>
      <c r="AC29" s="289"/>
      <c r="AD29" s="290"/>
      <c r="AE29" s="290"/>
      <c r="AF29" s="290"/>
      <c r="AG29" s="290"/>
      <c r="AH29" s="290"/>
      <c r="AI29" s="284"/>
      <c r="AJ29" s="290"/>
      <c r="AK29" s="290"/>
      <c r="AL29" s="290"/>
      <c r="AM29" s="290"/>
      <c r="AN29" s="290"/>
      <c r="AO29" s="290"/>
      <c r="AP29" s="290"/>
      <c r="AQ29" s="289"/>
      <c r="AR29" s="290"/>
      <c r="AS29" s="290"/>
      <c r="AT29" s="290"/>
      <c r="AU29" s="290"/>
      <c r="AV29" s="290"/>
      <c r="AW29" s="284"/>
      <c r="AX29" s="290"/>
      <c r="AY29" s="290"/>
      <c r="AZ29" s="290"/>
      <c r="BA29" s="290"/>
      <c r="BB29" s="290"/>
      <c r="BC29" s="290"/>
      <c r="BD29" s="290"/>
      <c r="BE29" s="289"/>
      <c r="BF29" s="290"/>
      <c r="BG29" s="290"/>
      <c r="BH29" s="290"/>
      <c r="BI29" s="290"/>
      <c r="BJ29" s="290"/>
      <c r="BK29" s="284"/>
      <c r="BL29" s="290"/>
      <c r="BM29" s="290"/>
      <c r="BN29" s="290"/>
      <c r="BO29" s="290"/>
      <c r="BP29" s="290"/>
      <c r="BQ29" s="290"/>
      <c r="BR29" s="290"/>
      <c r="BS29" s="289"/>
      <c r="BT29" s="290"/>
      <c r="BU29" s="290"/>
      <c r="BV29" s="290"/>
      <c r="BW29" s="290"/>
      <c r="BX29" s="290"/>
      <c r="BY29" s="284"/>
      <c r="BZ29" s="290"/>
      <c r="CA29" s="290"/>
      <c r="CB29" s="290"/>
      <c r="CC29" s="290"/>
      <c r="CD29" s="290"/>
      <c r="CE29" s="290"/>
      <c r="CF29" s="290"/>
      <c r="CG29" s="289"/>
      <c r="CH29" s="290"/>
      <c r="CI29" s="290"/>
      <c r="CJ29" s="290"/>
      <c r="CK29" s="290"/>
      <c r="CL29" s="290"/>
      <c r="CM29" s="284"/>
      <c r="CN29" s="290"/>
      <c r="CO29" s="290"/>
      <c r="CP29" s="290"/>
      <c r="CQ29" s="290"/>
      <c r="CR29" s="290"/>
      <c r="CS29" s="284"/>
    </row>
    <row r="30" spans="1:97" ht="13.2" x14ac:dyDescent="0.25">
      <c r="A30" s="566" t="s">
        <v>246</v>
      </c>
      <c r="B30" s="335" t="s">
        <v>49</v>
      </c>
      <c r="C30" s="256" t="s">
        <v>0</v>
      </c>
      <c r="D30" s="257">
        <v>1</v>
      </c>
      <c r="E30" s="399">
        <f>'5. ORÇAMENTO SINAPE'!$H$29</f>
        <v>124.50000000000001</v>
      </c>
      <c r="F30" s="400"/>
      <c r="G30" s="299">
        <f>D30*(E30+F30)</f>
        <v>124.50000000000001</v>
      </c>
      <c r="H30" s="1"/>
      <c r="O30" s="1"/>
      <c r="U30" s="2"/>
      <c r="AC30" s="1"/>
      <c r="AI30" s="2"/>
      <c r="AQ30" s="1"/>
      <c r="AW30" s="2"/>
      <c r="BE30" s="1"/>
      <c r="BK30" s="2"/>
      <c r="BS30" s="1"/>
      <c r="BY30" s="2"/>
      <c r="BZ30" s="434">
        <f>G30*0.5</f>
        <v>62.250000000000007</v>
      </c>
      <c r="CA30" s="435"/>
      <c r="CB30" s="435"/>
      <c r="CC30" s="435"/>
      <c r="CD30" s="435"/>
      <c r="CE30" s="435"/>
      <c r="CF30" s="435"/>
      <c r="CG30" s="436">
        <f>G30*0.5</f>
        <v>62.250000000000007</v>
      </c>
      <c r="CH30" s="435"/>
      <c r="CI30" s="435"/>
      <c r="CJ30" s="435"/>
      <c r="CK30" s="435"/>
      <c r="CL30" s="435"/>
      <c r="CM30" s="437"/>
      <c r="CS30" s="2"/>
    </row>
    <row r="31" spans="1:97" ht="13.2" x14ac:dyDescent="0.25">
      <c r="B31" s="365" t="s">
        <v>157</v>
      </c>
      <c r="C31" s="366"/>
      <c r="D31" s="366"/>
      <c r="E31" s="366"/>
      <c r="F31" s="366"/>
      <c r="G31" s="366"/>
      <c r="H31" s="289"/>
      <c r="I31" s="290"/>
      <c r="J31" s="290"/>
      <c r="K31" s="290"/>
      <c r="L31" s="290"/>
      <c r="M31" s="290"/>
      <c r="N31" s="290"/>
      <c r="O31" s="289"/>
      <c r="P31" s="290"/>
      <c r="Q31" s="290"/>
      <c r="R31" s="290"/>
      <c r="S31" s="290"/>
      <c r="T31" s="290"/>
      <c r="U31" s="284"/>
      <c r="V31" s="290"/>
      <c r="W31" s="290"/>
      <c r="X31" s="290"/>
      <c r="Y31" s="290"/>
      <c r="Z31" s="290"/>
      <c r="AA31" s="290"/>
      <c r="AB31" s="290"/>
      <c r="AC31" s="289"/>
      <c r="AD31" s="290"/>
      <c r="AE31" s="290"/>
      <c r="AF31" s="290"/>
      <c r="AG31" s="290"/>
      <c r="AH31" s="290"/>
      <c r="AI31" s="284"/>
      <c r="AJ31" s="290"/>
      <c r="AK31" s="290"/>
      <c r="AL31" s="290"/>
      <c r="AM31" s="290"/>
      <c r="AN31" s="290"/>
      <c r="AO31" s="290"/>
      <c r="AP31" s="290"/>
      <c r="AQ31" s="289"/>
      <c r="AR31" s="290"/>
      <c r="AS31" s="290"/>
      <c r="AT31" s="290"/>
      <c r="AU31" s="290"/>
      <c r="AV31" s="290"/>
      <c r="AW31" s="284"/>
      <c r="AX31" s="290"/>
      <c r="AY31" s="290"/>
      <c r="AZ31" s="290"/>
      <c r="BA31" s="290"/>
      <c r="BB31" s="290"/>
      <c r="BC31" s="290"/>
      <c r="BD31" s="290"/>
      <c r="BE31" s="289"/>
      <c r="BF31" s="290"/>
      <c r="BG31" s="290"/>
      <c r="BH31" s="290"/>
      <c r="BI31" s="290"/>
      <c r="BJ31" s="290"/>
      <c r="BK31" s="284"/>
      <c r="BL31" s="290"/>
      <c r="BM31" s="290"/>
      <c r="BN31" s="290"/>
      <c r="BO31" s="290"/>
      <c r="BP31" s="290"/>
      <c r="BQ31" s="290"/>
      <c r="BR31" s="290"/>
      <c r="BS31" s="289"/>
      <c r="BT31" s="290"/>
      <c r="BU31" s="290"/>
      <c r="BV31" s="290"/>
      <c r="BW31" s="290"/>
      <c r="BX31" s="290"/>
      <c r="BY31" s="284"/>
      <c r="BZ31" s="290"/>
      <c r="CA31" s="290"/>
      <c r="CB31" s="290"/>
      <c r="CC31" s="290"/>
      <c r="CD31" s="290"/>
      <c r="CE31" s="290"/>
      <c r="CF31" s="290"/>
      <c r="CG31" s="289"/>
      <c r="CH31" s="290"/>
      <c r="CI31" s="290"/>
      <c r="CJ31" s="290"/>
      <c r="CK31" s="290"/>
      <c r="CL31" s="290"/>
      <c r="CM31" s="284"/>
      <c r="CN31" s="290"/>
      <c r="CO31" s="290"/>
      <c r="CP31" s="290"/>
      <c r="CQ31" s="290"/>
      <c r="CR31" s="290"/>
      <c r="CS31" s="284"/>
    </row>
    <row r="32" spans="1:97" ht="13.2" x14ac:dyDescent="0.25">
      <c r="A32" s="283">
        <v>88484</v>
      </c>
      <c r="B32" s="333" t="s">
        <v>115</v>
      </c>
      <c r="C32" s="279" t="s">
        <v>4</v>
      </c>
      <c r="D32" s="278">
        <f>5.35*3*2</f>
        <v>32.099999999999994</v>
      </c>
      <c r="E32" s="395">
        <f>'5. ORÇAMENTO SINAPE'!H31</f>
        <v>4.6812000000000005</v>
      </c>
      <c r="F32" s="396"/>
      <c r="G32" s="297">
        <f>D32*(E32+F32)</f>
        <v>150.26651999999999</v>
      </c>
      <c r="H32" s="1"/>
      <c r="O32" s="1"/>
      <c r="U32" s="2"/>
      <c r="AC32" s="1"/>
      <c r="AI32" s="2"/>
      <c r="AQ32" s="1"/>
      <c r="AW32" s="2"/>
      <c r="BE32" s="1"/>
      <c r="BK32" s="2"/>
      <c r="BS32" s="1"/>
      <c r="BY32" s="2"/>
      <c r="BZ32" s="428">
        <f>G32*1</f>
        <v>150.26651999999999</v>
      </c>
      <c r="CA32" s="432"/>
      <c r="CB32" s="432"/>
      <c r="CC32" s="432"/>
      <c r="CD32" s="432"/>
      <c r="CE32" s="432"/>
      <c r="CF32" s="432"/>
      <c r="CG32" s="1"/>
      <c r="CM32" s="2"/>
      <c r="CS32" s="2"/>
    </row>
    <row r="33" spans="1:97" ht="13.2" x14ac:dyDescent="0.25">
      <c r="A33" s="283" t="s">
        <v>149</v>
      </c>
      <c r="B33" s="333" t="s">
        <v>54</v>
      </c>
      <c r="C33" s="246" t="s">
        <v>4</v>
      </c>
      <c r="D33" s="278">
        <f>5.35*3*2</f>
        <v>32.099999999999994</v>
      </c>
      <c r="E33" s="395">
        <f>'5. ORÇAMENTO SINAPE'!H32</f>
        <v>52.277549999999998</v>
      </c>
      <c r="F33" s="396"/>
      <c r="G33" s="297">
        <f>D33*(E33+F33)</f>
        <v>1678.1093549999996</v>
      </c>
      <c r="H33" s="1"/>
      <c r="O33" s="1"/>
      <c r="U33" s="2"/>
      <c r="AC33" s="1"/>
      <c r="AI33" s="2"/>
      <c r="AQ33" s="1"/>
      <c r="AW33" s="2"/>
      <c r="BE33" s="1"/>
      <c r="BK33" s="2"/>
      <c r="BS33" s="1"/>
      <c r="BY33" s="2"/>
      <c r="BZ33" s="428">
        <f>G33*1</f>
        <v>1678.1093549999996</v>
      </c>
      <c r="CA33" s="432"/>
      <c r="CB33" s="432"/>
      <c r="CC33" s="432"/>
      <c r="CD33" s="432"/>
      <c r="CE33" s="432"/>
      <c r="CF33" s="432"/>
      <c r="CG33" s="1"/>
      <c r="CM33" s="2"/>
      <c r="CS33" s="2"/>
    </row>
    <row r="34" spans="1:97" ht="13.2" x14ac:dyDescent="0.25">
      <c r="B34" s="365" t="s">
        <v>143</v>
      </c>
      <c r="C34" s="366"/>
      <c r="D34" s="366"/>
      <c r="E34" s="366"/>
      <c r="F34" s="366"/>
      <c r="G34" s="366"/>
      <c r="H34" s="289"/>
      <c r="I34" s="290"/>
      <c r="J34" s="290"/>
      <c r="K34" s="290"/>
      <c r="L34" s="290"/>
      <c r="M34" s="290"/>
      <c r="N34" s="290"/>
      <c r="O34" s="289"/>
      <c r="P34" s="290"/>
      <c r="Q34" s="290"/>
      <c r="R34" s="290"/>
      <c r="S34" s="290"/>
      <c r="T34" s="290"/>
      <c r="U34" s="284"/>
      <c r="V34" s="290"/>
      <c r="W34" s="290"/>
      <c r="X34" s="290"/>
      <c r="Y34" s="290"/>
      <c r="Z34" s="290"/>
      <c r="AA34" s="290"/>
      <c r="AB34" s="290"/>
      <c r="AC34" s="289"/>
      <c r="AD34" s="290"/>
      <c r="AE34" s="290"/>
      <c r="AF34" s="290"/>
      <c r="AG34" s="290"/>
      <c r="AH34" s="290"/>
      <c r="AI34" s="284"/>
      <c r="AJ34" s="290"/>
      <c r="AK34" s="290"/>
      <c r="AL34" s="290"/>
      <c r="AM34" s="290"/>
      <c r="AN34" s="290"/>
      <c r="AO34" s="290"/>
      <c r="AP34" s="290"/>
      <c r="AQ34" s="289"/>
      <c r="AR34" s="290"/>
      <c r="AS34" s="290"/>
      <c r="AT34" s="290"/>
      <c r="AU34" s="290"/>
      <c r="AV34" s="290"/>
      <c r="AW34" s="284"/>
      <c r="AX34" s="290"/>
      <c r="AY34" s="290"/>
      <c r="AZ34" s="290"/>
      <c r="BA34" s="290"/>
      <c r="BB34" s="290"/>
      <c r="BC34" s="290"/>
      <c r="BD34" s="290"/>
      <c r="BE34" s="289"/>
      <c r="BF34" s="290"/>
      <c r="BG34" s="290"/>
      <c r="BH34" s="290"/>
      <c r="BI34" s="290"/>
      <c r="BJ34" s="290"/>
      <c r="BK34" s="284"/>
      <c r="BL34" s="290"/>
      <c r="BM34" s="290"/>
      <c r="BN34" s="290"/>
      <c r="BO34" s="290"/>
      <c r="BP34" s="290"/>
      <c r="BQ34" s="290"/>
      <c r="BR34" s="290"/>
      <c r="BS34" s="289"/>
      <c r="BT34" s="290"/>
      <c r="BU34" s="290"/>
      <c r="BV34" s="290"/>
      <c r="BW34" s="290"/>
      <c r="BX34" s="290"/>
      <c r="BY34" s="284"/>
      <c r="BZ34" s="290"/>
      <c r="CA34" s="290"/>
      <c r="CB34" s="290"/>
      <c r="CC34" s="290"/>
      <c r="CD34" s="290"/>
      <c r="CE34" s="290"/>
      <c r="CF34" s="290"/>
      <c r="CG34" s="289"/>
      <c r="CH34" s="290"/>
      <c r="CI34" s="290"/>
      <c r="CJ34" s="290"/>
      <c r="CK34" s="290"/>
      <c r="CL34" s="290"/>
      <c r="CM34" s="284"/>
      <c r="CN34" s="290"/>
      <c r="CO34" s="290"/>
      <c r="CP34" s="290"/>
      <c r="CQ34" s="290"/>
      <c r="CR34" s="290"/>
      <c r="CS34" s="284"/>
    </row>
    <row r="35" spans="1:97" ht="13.2" x14ac:dyDescent="0.25">
      <c r="A35" s="566" t="s">
        <v>246</v>
      </c>
      <c r="B35" s="336" t="s">
        <v>31</v>
      </c>
      <c r="C35" s="252" t="s">
        <v>4</v>
      </c>
      <c r="D35" s="253">
        <v>98.97</v>
      </c>
      <c r="E35" s="547">
        <f>'5. ORÇAMENTO SINAPE'!H34</f>
        <v>676.1844000000001</v>
      </c>
      <c r="F35" s="548"/>
      <c r="G35" s="294">
        <f>D35*(E35+F35)</f>
        <v>66921.97006800001</v>
      </c>
      <c r="H35" s="1"/>
      <c r="O35" s="1"/>
      <c r="U35" s="2"/>
      <c r="AC35" s="1"/>
      <c r="AI35" s="2"/>
      <c r="AQ35" s="1"/>
      <c r="AW35" s="2"/>
      <c r="BE35" s="414">
        <f>G35*(1/3)</f>
        <v>22307.323356000001</v>
      </c>
      <c r="BF35" s="415"/>
      <c r="BG35" s="415"/>
      <c r="BH35" s="415"/>
      <c r="BI35" s="415"/>
      <c r="BJ35" s="415"/>
      <c r="BK35" s="416"/>
      <c r="BL35" s="417">
        <f>G35*(1/3)</f>
        <v>22307.323356000001</v>
      </c>
      <c r="BM35" s="415"/>
      <c r="BN35" s="415"/>
      <c r="BO35" s="415"/>
      <c r="BP35" s="415"/>
      <c r="BQ35" s="415"/>
      <c r="BR35" s="415"/>
      <c r="BS35" s="414">
        <f>G35*(1/3)</f>
        <v>22307.323356000001</v>
      </c>
      <c r="BT35" s="415"/>
      <c r="BU35" s="415"/>
      <c r="BV35" s="415"/>
      <c r="BW35" s="415"/>
      <c r="BX35" s="415"/>
      <c r="BY35" s="416"/>
      <c r="CG35" s="1"/>
      <c r="CM35" s="2"/>
      <c r="CS35" s="2"/>
    </row>
    <row r="36" spans="1:97" ht="13.2" x14ac:dyDescent="0.25">
      <c r="A36" s="566" t="s">
        <v>246</v>
      </c>
      <c r="B36" s="337" t="s">
        <v>27</v>
      </c>
      <c r="C36" s="258" t="s">
        <v>0</v>
      </c>
      <c r="D36" s="259">
        <v>13</v>
      </c>
      <c r="E36" s="403">
        <f>'5. ORÇAMENTO SINAPE'!H35</f>
        <v>152.00205000000003</v>
      </c>
      <c r="F36" s="404"/>
      <c r="G36" s="295">
        <f>D36*(E36+F36)</f>
        <v>1976.0266500000002</v>
      </c>
      <c r="H36" s="1"/>
      <c r="O36" s="1"/>
      <c r="U36" s="2"/>
      <c r="AC36" s="1"/>
      <c r="AI36" s="2"/>
      <c r="AQ36" s="1"/>
      <c r="AW36" s="2"/>
      <c r="BE36" s="444">
        <f>G36*(1/3)</f>
        <v>658.67555000000004</v>
      </c>
      <c r="BF36" s="427"/>
      <c r="BG36" s="427"/>
      <c r="BH36" s="427"/>
      <c r="BI36" s="427"/>
      <c r="BJ36" s="427"/>
      <c r="BK36" s="445"/>
      <c r="BL36" s="426">
        <f>G36*(1/3)</f>
        <v>658.67555000000004</v>
      </c>
      <c r="BM36" s="427"/>
      <c r="BN36" s="427"/>
      <c r="BO36" s="427"/>
      <c r="BP36" s="427"/>
      <c r="BQ36" s="427"/>
      <c r="BR36" s="427"/>
      <c r="BS36" s="444">
        <f>G36*(1/3)</f>
        <v>658.67555000000004</v>
      </c>
      <c r="BT36" s="427"/>
      <c r="BU36" s="427"/>
      <c r="BV36" s="427"/>
      <c r="BW36" s="427"/>
      <c r="BX36" s="427"/>
      <c r="BY36" s="445"/>
      <c r="CG36" s="1"/>
      <c r="CM36" s="2"/>
      <c r="CS36" s="2"/>
    </row>
    <row r="37" spans="1:97" ht="13.2" x14ac:dyDescent="0.25">
      <c r="A37" s="566" t="s">
        <v>246</v>
      </c>
      <c r="B37" s="337" t="s">
        <v>106</v>
      </c>
      <c r="C37" s="258" t="s">
        <v>0</v>
      </c>
      <c r="D37" s="259">
        <v>1</v>
      </c>
      <c r="E37" s="403">
        <f>'5. ORÇAMENTO SINAPE'!H36</f>
        <v>694.46349000000021</v>
      </c>
      <c r="F37" s="404"/>
      <c r="G37" s="295">
        <f>E37*D37</f>
        <v>694.46349000000021</v>
      </c>
      <c r="H37" s="1"/>
      <c r="O37" s="1"/>
      <c r="U37" s="2"/>
      <c r="AC37" s="1"/>
      <c r="AI37" s="2"/>
      <c r="AQ37" s="1"/>
      <c r="AW37" s="2"/>
      <c r="BE37" s="444">
        <f>G37*(1/3)</f>
        <v>231.48783000000006</v>
      </c>
      <c r="BF37" s="427"/>
      <c r="BG37" s="427"/>
      <c r="BH37" s="427"/>
      <c r="BI37" s="427"/>
      <c r="BJ37" s="427"/>
      <c r="BK37" s="445"/>
      <c r="BL37" s="426">
        <f>G37*(1/3)</f>
        <v>231.48783000000006</v>
      </c>
      <c r="BM37" s="427"/>
      <c r="BN37" s="427"/>
      <c r="BO37" s="427"/>
      <c r="BP37" s="427"/>
      <c r="BQ37" s="427"/>
      <c r="BR37" s="427"/>
      <c r="BS37" s="444">
        <f>G37*(1/3)</f>
        <v>231.48783000000006</v>
      </c>
      <c r="BT37" s="427"/>
      <c r="BU37" s="427"/>
      <c r="BV37" s="427"/>
      <c r="BW37" s="427"/>
      <c r="BX37" s="427"/>
      <c r="BY37" s="445"/>
      <c r="CG37" s="1"/>
      <c r="CM37" s="2"/>
      <c r="CS37" s="2"/>
    </row>
    <row r="38" spans="1:97" ht="13.2" x14ac:dyDescent="0.25">
      <c r="A38" s="566" t="s">
        <v>246</v>
      </c>
      <c r="B38" s="331" t="s">
        <v>42</v>
      </c>
      <c r="C38" s="260" t="s">
        <v>17</v>
      </c>
      <c r="D38" s="251">
        <v>3.48</v>
      </c>
      <c r="E38" s="388">
        <f>'5. ORÇAMENTO SINAPE'!H37</f>
        <v>527.00850000000003</v>
      </c>
      <c r="F38" s="388"/>
      <c r="G38" s="296">
        <f>D38*(E38+F38)</f>
        <v>1833.9895800000002</v>
      </c>
      <c r="H38" s="1"/>
      <c r="O38" s="1"/>
      <c r="U38" s="2"/>
      <c r="AC38" s="1"/>
      <c r="AI38" s="2"/>
      <c r="AQ38" s="1"/>
      <c r="AW38" s="2"/>
      <c r="BE38" s="1"/>
      <c r="BK38" s="2"/>
      <c r="BS38" s="1"/>
      <c r="BY38" s="2"/>
      <c r="BZ38" s="446">
        <f>G38*1</f>
        <v>1833.9895800000002</v>
      </c>
      <c r="CA38" s="447"/>
      <c r="CB38" s="447"/>
      <c r="CC38" s="447"/>
      <c r="CD38" s="447"/>
      <c r="CE38" s="447"/>
      <c r="CF38" s="447"/>
      <c r="CG38" s="1"/>
      <c r="CM38" s="2"/>
      <c r="CS38" s="2"/>
    </row>
    <row r="39" spans="1:97" ht="13.2" x14ac:dyDescent="0.25">
      <c r="A39" s="283">
        <v>96359</v>
      </c>
      <c r="B39" s="338" t="s">
        <v>245</v>
      </c>
      <c r="C39" s="261" t="s">
        <v>4</v>
      </c>
      <c r="D39" s="262">
        <v>2.84</v>
      </c>
      <c r="E39" s="401">
        <f>'5. ORÇAMENTO SINAPE'!H38</f>
        <v>149.81085000000002</v>
      </c>
      <c r="F39" s="402"/>
      <c r="G39" s="300">
        <f>D39*(E39+F39)</f>
        <v>425.46281400000004</v>
      </c>
      <c r="H39" s="1"/>
      <c r="O39" s="1"/>
      <c r="U39" s="2"/>
      <c r="AC39" s="1"/>
      <c r="AI39" s="2"/>
      <c r="AQ39" s="1"/>
      <c r="AW39" s="2"/>
      <c r="AX39" s="448">
        <f>G39*1</f>
        <v>425.46281400000004</v>
      </c>
      <c r="AY39" s="449"/>
      <c r="AZ39" s="449"/>
      <c r="BA39" s="449"/>
      <c r="BB39" s="449"/>
      <c r="BC39" s="449"/>
      <c r="BD39" s="449"/>
      <c r="BE39" s="1"/>
      <c r="BK39" s="2"/>
      <c r="BS39" s="1"/>
      <c r="BY39" s="2"/>
      <c r="CG39" s="1"/>
      <c r="CM39" s="2"/>
      <c r="CS39" s="2"/>
    </row>
    <row r="40" spans="1:97" ht="13.2" x14ac:dyDescent="0.25">
      <c r="A40" s="566" t="s">
        <v>246</v>
      </c>
      <c r="B40" s="338" t="s">
        <v>19</v>
      </c>
      <c r="C40" s="261" t="s">
        <v>0</v>
      </c>
      <c r="D40" s="262">
        <v>2</v>
      </c>
      <c r="E40" s="401">
        <f>'5. ORÇAMENTO SINAPE'!H39</f>
        <v>99.600000000000009</v>
      </c>
      <c r="F40" s="402"/>
      <c r="G40" s="300">
        <f>D40*(E40+F40)</f>
        <v>199.20000000000002</v>
      </c>
      <c r="H40" s="1"/>
      <c r="O40" s="1"/>
      <c r="U40" s="2"/>
      <c r="AC40" s="1"/>
      <c r="AI40" s="2"/>
      <c r="AQ40" s="1"/>
      <c r="AW40" s="2"/>
      <c r="AX40" s="448">
        <f>G40*1</f>
        <v>199.20000000000002</v>
      </c>
      <c r="AY40" s="449"/>
      <c r="AZ40" s="449"/>
      <c r="BA40" s="449"/>
      <c r="BB40" s="449"/>
      <c r="BC40" s="449"/>
      <c r="BD40" s="449"/>
      <c r="BE40" s="1"/>
      <c r="BK40" s="2"/>
      <c r="BS40" s="1"/>
      <c r="BY40" s="2"/>
      <c r="CG40" s="1"/>
      <c r="CM40" s="2"/>
      <c r="CS40" s="2"/>
    </row>
    <row r="41" spans="1:97" ht="13.2" x14ac:dyDescent="0.25">
      <c r="A41" s="283">
        <v>90793</v>
      </c>
      <c r="B41" s="339" t="s">
        <v>20</v>
      </c>
      <c r="C41" s="263" t="s">
        <v>0</v>
      </c>
      <c r="D41" s="264">
        <v>2</v>
      </c>
      <c r="E41" s="397">
        <f>'5. ORÇAMENTO SINAPE'!H40</f>
        <v>1251.1876500000001</v>
      </c>
      <c r="F41" s="398"/>
      <c r="G41" s="298">
        <f>D41*(E41+F41)</f>
        <v>2502.3753000000002</v>
      </c>
      <c r="H41" s="1"/>
      <c r="O41" s="1"/>
      <c r="U41" s="2"/>
      <c r="AC41" s="1"/>
      <c r="AI41" s="2"/>
      <c r="AQ41" s="1"/>
      <c r="AW41" s="2"/>
      <c r="BE41" s="1"/>
      <c r="BK41" s="2"/>
      <c r="BS41" s="1"/>
      <c r="BY41" s="2"/>
      <c r="BZ41" s="454">
        <f>G41*1</f>
        <v>2502.3753000000002</v>
      </c>
      <c r="CA41" s="455"/>
      <c r="CB41" s="455"/>
      <c r="CC41" s="455"/>
      <c r="CD41" s="455"/>
      <c r="CE41" s="455"/>
      <c r="CF41" s="455"/>
      <c r="CG41" s="1"/>
      <c r="CM41" s="2"/>
      <c r="CS41" s="2"/>
    </row>
    <row r="42" spans="1:97" ht="13.2" x14ac:dyDescent="0.25">
      <c r="B42" s="393" t="s">
        <v>144</v>
      </c>
      <c r="C42" s="394"/>
      <c r="D42" s="394"/>
      <c r="E42" s="394"/>
      <c r="F42" s="394"/>
      <c r="G42" s="394"/>
      <c r="H42" s="289"/>
      <c r="I42" s="290"/>
      <c r="J42" s="290"/>
      <c r="K42" s="290"/>
      <c r="L42" s="290"/>
      <c r="M42" s="290"/>
      <c r="N42" s="290"/>
      <c r="O42" s="289"/>
      <c r="P42" s="290"/>
      <c r="Q42" s="290"/>
      <c r="R42" s="290"/>
      <c r="S42" s="290"/>
      <c r="T42" s="290"/>
      <c r="U42" s="284"/>
      <c r="V42" s="290"/>
      <c r="W42" s="290"/>
      <c r="X42" s="290"/>
      <c r="Y42" s="290"/>
      <c r="Z42" s="290"/>
      <c r="AA42" s="290"/>
      <c r="AB42" s="290"/>
      <c r="AC42" s="289"/>
      <c r="AD42" s="290"/>
      <c r="AE42" s="290"/>
      <c r="AF42" s="290"/>
      <c r="AG42" s="290"/>
      <c r="AH42" s="290"/>
      <c r="AI42" s="284"/>
      <c r="AJ42" s="290"/>
      <c r="AK42" s="290"/>
      <c r="AL42" s="290"/>
      <c r="AM42" s="290"/>
      <c r="AN42" s="290"/>
      <c r="AO42" s="290"/>
      <c r="AP42" s="290"/>
      <c r="AQ42" s="289"/>
      <c r="AR42" s="290"/>
      <c r="AS42" s="290"/>
      <c r="AT42" s="290"/>
      <c r="AU42" s="290"/>
      <c r="AV42" s="290"/>
      <c r="AW42" s="284"/>
      <c r="AX42" s="290"/>
      <c r="AY42" s="290"/>
      <c r="AZ42" s="290"/>
      <c r="BA42" s="290"/>
      <c r="BB42" s="290"/>
      <c r="BC42" s="290"/>
      <c r="BD42" s="290"/>
      <c r="BE42" s="289"/>
      <c r="BF42" s="290"/>
      <c r="BG42" s="290"/>
      <c r="BH42" s="290"/>
      <c r="BI42" s="290"/>
      <c r="BJ42" s="290"/>
      <c r="BK42" s="284"/>
      <c r="BL42" s="290"/>
      <c r="BM42" s="290"/>
      <c r="BN42" s="290"/>
      <c r="BO42" s="290"/>
      <c r="BP42" s="290"/>
      <c r="BQ42" s="290"/>
      <c r="BR42" s="290"/>
      <c r="BS42" s="289"/>
      <c r="BT42" s="290"/>
      <c r="BU42" s="290"/>
      <c r="BV42" s="290"/>
      <c r="BW42" s="290"/>
      <c r="BX42" s="290"/>
      <c r="BY42" s="284"/>
      <c r="BZ42" s="290"/>
      <c r="CA42" s="290"/>
      <c r="CB42" s="290"/>
      <c r="CC42" s="290"/>
      <c r="CD42" s="290"/>
      <c r="CE42" s="290"/>
      <c r="CF42" s="290"/>
      <c r="CG42" s="289"/>
      <c r="CH42" s="290"/>
      <c r="CI42" s="290"/>
      <c r="CJ42" s="290"/>
      <c r="CK42" s="290"/>
      <c r="CL42" s="290"/>
      <c r="CM42" s="284"/>
      <c r="CN42" s="290"/>
      <c r="CO42" s="290"/>
      <c r="CP42" s="290"/>
      <c r="CQ42" s="290"/>
      <c r="CR42" s="290"/>
      <c r="CS42" s="284"/>
    </row>
    <row r="43" spans="1:97" ht="13.2" x14ac:dyDescent="0.25">
      <c r="A43" s="566" t="s">
        <v>246</v>
      </c>
      <c r="B43" s="340" t="s">
        <v>28</v>
      </c>
      <c r="C43" s="265" t="s">
        <v>0</v>
      </c>
      <c r="D43" s="266">
        <v>2</v>
      </c>
      <c r="E43" s="363">
        <f>'5. ORÇAMENTO SINAPE'!H42</f>
        <v>498.00000000000006</v>
      </c>
      <c r="F43" s="364"/>
      <c r="G43" s="301">
        <f>D43*(E43+F43)</f>
        <v>996.00000000000011</v>
      </c>
      <c r="H43" s="1"/>
      <c r="O43" s="1"/>
      <c r="U43" s="2"/>
      <c r="AC43" s="1"/>
      <c r="AI43" s="2"/>
      <c r="AQ43" s="1"/>
      <c r="AW43" s="2"/>
      <c r="BE43" s="1"/>
      <c r="BK43" s="2"/>
      <c r="BL43" s="450">
        <f>G43*0.5</f>
        <v>498.00000000000006</v>
      </c>
      <c r="BM43" s="451"/>
      <c r="BN43" s="451"/>
      <c r="BO43" s="451"/>
      <c r="BP43" s="451"/>
      <c r="BQ43" s="451"/>
      <c r="BR43" s="451"/>
      <c r="BS43" s="452">
        <f>G43*0.5</f>
        <v>498.00000000000006</v>
      </c>
      <c r="BT43" s="451"/>
      <c r="BU43" s="451"/>
      <c r="BV43" s="451"/>
      <c r="BW43" s="451"/>
      <c r="BX43" s="451"/>
      <c r="BY43" s="453"/>
      <c r="CG43" s="1"/>
      <c r="CM43" s="2"/>
      <c r="CS43" s="2"/>
    </row>
    <row r="44" spans="1:97" ht="13.2" x14ac:dyDescent="0.25">
      <c r="A44" s="566" t="s">
        <v>246</v>
      </c>
      <c r="B44" s="341" t="s">
        <v>29</v>
      </c>
      <c r="C44" s="267" t="s">
        <v>0</v>
      </c>
      <c r="D44" s="268">
        <v>2</v>
      </c>
      <c r="E44" s="549">
        <f>'5. ORÇAMENTO SINAPE'!H43</f>
        <v>1369.5000000000002</v>
      </c>
      <c r="F44" s="550"/>
      <c r="G44" s="302">
        <f>D44*(E44+F44)</f>
        <v>2739.0000000000005</v>
      </c>
      <c r="H44" s="1"/>
      <c r="O44" s="1"/>
      <c r="U44" s="2"/>
      <c r="AC44" s="1"/>
      <c r="AI44" s="2"/>
      <c r="AQ44" s="1"/>
      <c r="AW44" s="2"/>
      <c r="BE44" s="456">
        <f>G44*1</f>
        <v>2739.0000000000005</v>
      </c>
      <c r="BF44" s="457"/>
      <c r="BG44" s="457"/>
      <c r="BH44" s="457"/>
      <c r="BI44" s="457"/>
      <c r="BJ44" s="457"/>
      <c r="BK44" s="458"/>
      <c r="BS44" s="1"/>
      <c r="BY44" s="2"/>
      <c r="CG44" s="1"/>
      <c r="CM44" s="2"/>
      <c r="CS44" s="2"/>
    </row>
    <row r="45" spans="1:97" ht="13.2" x14ac:dyDescent="0.25">
      <c r="A45" s="566" t="s">
        <v>246</v>
      </c>
      <c r="B45" s="340" t="s">
        <v>43</v>
      </c>
      <c r="C45" s="265" t="s">
        <v>0</v>
      </c>
      <c r="D45" s="266">
        <v>2</v>
      </c>
      <c r="E45" s="363">
        <f>'5. ORÇAMENTO SINAPE'!H44</f>
        <v>1120.5</v>
      </c>
      <c r="F45" s="364"/>
      <c r="G45" s="301">
        <f>D45*E45</f>
        <v>2241</v>
      </c>
      <c r="H45" s="1"/>
      <c r="O45" s="1"/>
      <c r="U45" s="2"/>
      <c r="AC45" s="1"/>
      <c r="AI45" s="2"/>
      <c r="AQ45" s="1"/>
      <c r="AW45" s="2"/>
      <c r="BE45" s="1"/>
      <c r="BK45" s="2"/>
      <c r="BL45" s="450">
        <f>G45*0.5</f>
        <v>1120.5</v>
      </c>
      <c r="BM45" s="451"/>
      <c r="BN45" s="451"/>
      <c r="BO45" s="451"/>
      <c r="BP45" s="451"/>
      <c r="BQ45" s="451"/>
      <c r="BR45" s="451"/>
      <c r="BS45" s="452">
        <f>G45*0.5</f>
        <v>1120.5</v>
      </c>
      <c r="BT45" s="451"/>
      <c r="BU45" s="451"/>
      <c r="BV45" s="451"/>
      <c r="BW45" s="451"/>
      <c r="BX45" s="451"/>
      <c r="BY45" s="453"/>
      <c r="CG45" s="1"/>
      <c r="CM45" s="2"/>
      <c r="CS45" s="2"/>
    </row>
    <row r="46" spans="1:97" ht="13.2" x14ac:dyDescent="0.25">
      <c r="A46" s="283">
        <v>96359</v>
      </c>
      <c r="B46" s="338" t="s">
        <v>153</v>
      </c>
      <c r="C46" s="269" t="s">
        <v>4</v>
      </c>
      <c r="D46" s="270">
        <f>1.64*3</f>
        <v>4.92</v>
      </c>
      <c r="E46" s="401">
        <f>'5. ORÇAMENTO SINAPE'!H45</f>
        <v>149.81085000000002</v>
      </c>
      <c r="F46" s="402"/>
      <c r="G46" s="300">
        <f>D46*(E46+F46)</f>
        <v>737.06938200000002</v>
      </c>
      <c r="H46" s="1"/>
      <c r="O46" s="1"/>
      <c r="U46" s="2"/>
      <c r="AC46" s="1"/>
      <c r="AI46" s="2"/>
      <c r="AQ46" s="1"/>
      <c r="AW46" s="2"/>
      <c r="AX46" s="448">
        <f>G46*1</f>
        <v>737.06938200000002</v>
      </c>
      <c r="AY46" s="449"/>
      <c r="AZ46" s="449"/>
      <c r="BA46" s="449"/>
      <c r="BB46" s="449"/>
      <c r="BC46" s="449"/>
      <c r="BD46" s="449"/>
      <c r="BE46" s="1"/>
      <c r="BK46" s="2"/>
      <c r="BS46" s="111"/>
      <c r="BY46" s="2"/>
      <c r="CG46" s="1"/>
      <c r="CM46" s="2"/>
      <c r="CS46" s="2"/>
    </row>
    <row r="47" spans="1:97" ht="13.2" x14ac:dyDescent="0.25">
      <c r="A47" s="283">
        <v>102185</v>
      </c>
      <c r="B47" s="342" t="s">
        <v>251</v>
      </c>
      <c r="C47" s="256" t="s">
        <v>0</v>
      </c>
      <c r="D47" s="257">
        <v>1</v>
      </c>
      <c r="E47" s="405">
        <f>E49*2</f>
        <v>10016.821800000002</v>
      </c>
      <c r="F47" s="405"/>
      <c r="G47" s="299">
        <f>D47*E47</f>
        <v>10016.821800000002</v>
      </c>
      <c r="H47" s="1"/>
      <c r="O47" s="1"/>
      <c r="U47" s="2"/>
      <c r="AC47" s="1"/>
      <c r="AI47" s="2"/>
      <c r="AQ47" s="1"/>
      <c r="AW47" s="2"/>
      <c r="AX47" s="356"/>
      <c r="AY47" s="353"/>
      <c r="AZ47" s="353"/>
      <c r="BA47" s="353"/>
      <c r="BB47" s="353"/>
      <c r="BC47" s="353"/>
      <c r="BD47" s="353"/>
      <c r="BE47" s="1"/>
      <c r="BK47" s="2"/>
      <c r="BS47" s="111"/>
      <c r="BY47" s="2"/>
      <c r="BZ47" s="436">
        <f>G47*0.5</f>
        <v>5008.4109000000008</v>
      </c>
      <c r="CA47" s="435"/>
      <c r="CB47" s="435"/>
      <c r="CC47" s="435"/>
      <c r="CD47" s="435"/>
      <c r="CE47" s="435"/>
      <c r="CF47" s="437"/>
      <c r="CG47" s="436">
        <f>G47*0.5</f>
        <v>5008.4109000000008</v>
      </c>
      <c r="CH47" s="588"/>
      <c r="CI47" s="588"/>
      <c r="CJ47" s="588"/>
      <c r="CK47" s="588"/>
      <c r="CL47" s="588"/>
      <c r="CM47" s="437"/>
      <c r="CS47" s="2"/>
    </row>
    <row r="48" spans="1:97" ht="13.2" x14ac:dyDescent="0.25">
      <c r="B48" s="365" t="s">
        <v>120</v>
      </c>
      <c r="C48" s="366"/>
      <c r="D48" s="366"/>
      <c r="E48" s="366"/>
      <c r="F48" s="366"/>
      <c r="G48" s="366"/>
      <c r="H48" s="289"/>
      <c r="I48" s="290"/>
      <c r="J48" s="290"/>
      <c r="K48" s="290"/>
      <c r="L48" s="290"/>
      <c r="M48" s="290"/>
      <c r="N48" s="290"/>
      <c r="O48" s="289"/>
      <c r="P48" s="290"/>
      <c r="Q48" s="290"/>
      <c r="R48" s="290"/>
      <c r="S48" s="290"/>
      <c r="T48" s="290"/>
      <c r="U48" s="284"/>
      <c r="V48" s="290"/>
      <c r="W48" s="290"/>
      <c r="X48" s="290"/>
      <c r="Y48" s="290"/>
      <c r="Z48" s="290"/>
      <c r="AA48" s="290"/>
      <c r="AB48" s="290"/>
      <c r="AC48" s="289"/>
      <c r="AD48" s="290"/>
      <c r="AE48" s="290"/>
      <c r="AF48" s="290"/>
      <c r="AG48" s="290"/>
      <c r="AH48" s="290"/>
      <c r="AI48" s="284"/>
      <c r="AJ48" s="290"/>
      <c r="AK48" s="290"/>
      <c r="AL48" s="290"/>
      <c r="AM48" s="290"/>
      <c r="AN48" s="290"/>
      <c r="AO48" s="290"/>
      <c r="AP48" s="290"/>
      <c r="AQ48" s="289"/>
      <c r="AR48" s="290"/>
      <c r="AS48" s="290"/>
      <c r="AT48" s="290"/>
      <c r="AU48" s="290"/>
      <c r="AV48" s="290"/>
      <c r="AW48" s="284"/>
      <c r="AX48" s="290"/>
      <c r="AY48" s="290"/>
      <c r="AZ48" s="290"/>
      <c r="BA48" s="290"/>
      <c r="BB48" s="290"/>
      <c r="BC48" s="290"/>
      <c r="BD48" s="290"/>
      <c r="BE48" s="289"/>
      <c r="BF48" s="290"/>
      <c r="BG48" s="290"/>
      <c r="BH48" s="290"/>
      <c r="BI48" s="290"/>
      <c r="BJ48" s="290"/>
      <c r="BK48" s="284"/>
      <c r="BL48" s="290"/>
      <c r="BM48" s="290"/>
      <c r="BN48" s="290"/>
      <c r="BO48" s="290"/>
      <c r="BP48" s="290"/>
      <c r="BQ48" s="290"/>
      <c r="BR48" s="290"/>
      <c r="BS48" s="289"/>
      <c r="BT48" s="290"/>
      <c r="BU48" s="290"/>
      <c r="BV48" s="290"/>
      <c r="BW48" s="290"/>
      <c r="BX48" s="290"/>
      <c r="BY48" s="284"/>
      <c r="BZ48" s="290"/>
      <c r="CA48" s="290"/>
      <c r="CB48" s="290"/>
      <c r="CC48" s="290"/>
      <c r="CD48" s="290"/>
      <c r="CE48" s="290"/>
      <c r="CF48" s="290"/>
      <c r="CG48" s="289"/>
      <c r="CH48" s="290"/>
      <c r="CI48" s="290"/>
      <c r="CJ48" s="290"/>
      <c r="CK48" s="290"/>
      <c r="CL48" s="290"/>
      <c r="CM48" s="284"/>
      <c r="CN48" s="290"/>
      <c r="CO48" s="290"/>
      <c r="CP48" s="290"/>
      <c r="CQ48" s="290"/>
      <c r="CR48" s="290"/>
      <c r="CS48" s="284"/>
    </row>
    <row r="49" spans="1:97" ht="13.2" x14ac:dyDescent="0.25">
      <c r="A49" s="283">
        <v>102185</v>
      </c>
      <c r="B49" s="342" t="s">
        <v>132</v>
      </c>
      <c r="C49" s="256" t="s">
        <v>0</v>
      </c>
      <c r="D49" s="257">
        <v>1</v>
      </c>
      <c r="E49" s="405">
        <f>'5. ORÇAMENTO SINAPE'!H48</f>
        <v>5008.4109000000008</v>
      </c>
      <c r="F49" s="405"/>
      <c r="G49" s="299">
        <f>D49*(E49+F49)</f>
        <v>5008.4109000000008</v>
      </c>
      <c r="H49" s="1"/>
      <c r="O49" s="1"/>
      <c r="U49" s="2"/>
      <c r="AC49" s="1"/>
      <c r="AI49" s="2"/>
      <c r="AQ49" s="1"/>
      <c r="AW49" s="2"/>
      <c r="BE49" s="1"/>
      <c r="BK49" s="2"/>
      <c r="BS49" s="1"/>
      <c r="BY49" s="2"/>
      <c r="BZ49" s="434">
        <f>G49*0.5</f>
        <v>2504.2054500000004</v>
      </c>
      <c r="CA49" s="435"/>
      <c r="CB49" s="435"/>
      <c r="CC49" s="435"/>
      <c r="CD49" s="435"/>
      <c r="CE49" s="435"/>
      <c r="CF49" s="435"/>
      <c r="CG49" s="436">
        <f>G49*0.5</f>
        <v>2504.2054500000004</v>
      </c>
      <c r="CH49" s="435"/>
      <c r="CI49" s="435"/>
      <c r="CJ49" s="435"/>
      <c r="CK49" s="435"/>
      <c r="CL49" s="435"/>
      <c r="CM49" s="437"/>
      <c r="CS49" s="2"/>
    </row>
    <row r="50" spans="1:97" ht="13.2" x14ac:dyDescent="0.25">
      <c r="A50" s="566" t="s">
        <v>246</v>
      </c>
      <c r="B50" s="335" t="s">
        <v>48</v>
      </c>
      <c r="C50" s="256" t="s">
        <v>0</v>
      </c>
      <c r="D50" s="257">
        <v>1</v>
      </c>
      <c r="E50" s="405">
        <f>'5. ORÇAMENTO SINAPE'!H49</f>
        <v>5313.8343000000004</v>
      </c>
      <c r="F50" s="405"/>
      <c r="G50" s="299">
        <f>D50*(E50+F50)</f>
        <v>5313.8343000000004</v>
      </c>
      <c r="H50" s="1"/>
      <c r="O50" s="1"/>
      <c r="U50" s="2"/>
      <c r="AC50" s="1"/>
      <c r="AI50" s="2"/>
      <c r="AQ50" s="1"/>
      <c r="AW50" s="2"/>
      <c r="BE50" s="1"/>
      <c r="BK50" s="2"/>
      <c r="BS50" s="1"/>
      <c r="BY50" s="2"/>
      <c r="BZ50" s="434">
        <f>G50*0.5</f>
        <v>2656.9171500000002</v>
      </c>
      <c r="CA50" s="435"/>
      <c r="CB50" s="435"/>
      <c r="CC50" s="435"/>
      <c r="CD50" s="435"/>
      <c r="CE50" s="435"/>
      <c r="CF50" s="435"/>
      <c r="CG50" s="436">
        <f>G50*0.5</f>
        <v>2656.9171500000002</v>
      </c>
      <c r="CH50" s="435"/>
      <c r="CI50" s="435"/>
      <c r="CJ50" s="435"/>
      <c r="CK50" s="435"/>
      <c r="CL50" s="435"/>
      <c r="CM50" s="437"/>
      <c r="CS50" s="2"/>
    </row>
    <row r="51" spans="1:97" ht="13.2" x14ac:dyDescent="0.25">
      <c r="A51" s="566" t="s">
        <v>246</v>
      </c>
      <c r="B51" s="335" t="s">
        <v>47</v>
      </c>
      <c r="C51" s="256" t="s">
        <v>0</v>
      </c>
      <c r="D51" s="257">
        <v>1</v>
      </c>
      <c r="E51" s="405">
        <f>'5. ORÇAMENTO SINAPE'!H50</f>
        <v>9476.2677000000003</v>
      </c>
      <c r="F51" s="405"/>
      <c r="G51" s="299">
        <f>D51*(E51+F51)</f>
        <v>9476.2677000000003</v>
      </c>
      <c r="H51" s="1"/>
      <c r="O51" s="1"/>
      <c r="U51" s="2"/>
      <c r="AC51" s="1"/>
      <c r="AI51" s="2"/>
      <c r="AQ51" s="1"/>
      <c r="AW51" s="2"/>
      <c r="BE51" s="1"/>
      <c r="BK51" s="2"/>
      <c r="BS51" s="1"/>
      <c r="BY51" s="2"/>
      <c r="BZ51" s="434">
        <f>G51*0.5</f>
        <v>4738.1338500000002</v>
      </c>
      <c r="CA51" s="435"/>
      <c r="CB51" s="435"/>
      <c r="CC51" s="435"/>
      <c r="CD51" s="435"/>
      <c r="CE51" s="435"/>
      <c r="CF51" s="435"/>
      <c r="CG51" s="436">
        <f>G51*0.5</f>
        <v>4738.1338500000002</v>
      </c>
      <c r="CH51" s="435"/>
      <c r="CI51" s="435"/>
      <c r="CJ51" s="435"/>
      <c r="CK51" s="435"/>
      <c r="CL51" s="435"/>
      <c r="CM51" s="437"/>
      <c r="CS51" s="2"/>
    </row>
    <row r="52" spans="1:97" ht="13.2" x14ac:dyDescent="0.25">
      <c r="A52" s="566" t="s">
        <v>246</v>
      </c>
      <c r="B52" s="335" t="s">
        <v>46</v>
      </c>
      <c r="C52" s="256" t="s">
        <v>0</v>
      </c>
      <c r="D52" s="257">
        <v>1</v>
      </c>
      <c r="E52" s="405">
        <f>'5. ORÇAMENTO SINAPE'!H51</f>
        <v>5248.5465000000004</v>
      </c>
      <c r="F52" s="405"/>
      <c r="G52" s="299">
        <f>D52*(E52+F52)</f>
        <v>5248.5465000000004</v>
      </c>
      <c r="H52" s="1"/>
      <c r="O52" s="1"/>
      <c r="U52" s="2"/>
      <c r="AC52" s="1"/>
      <c r="AI52" s="2"/>
      <c r="AQ52" s="1"/>
      <c r="AW52" s="2"/>
      <c r="BE52" s="1"/>
      <c r="BK52" s="2"/>
      <c r="BS52" s="1"/>
      <c r="BY52" s="2"/>
      <c r="BZ52" s="434">
        <f>G52*0.5</f>
        <v>2624.2732500000002</v>
      </c>
      <c r="CA52" s="435"/>
      <c r="CB52" s="435"/>
      <c r="CC52" s="435"/>
      <c r="CD52" s="435"/>
      <c r="CE52" s="435"/>
      <c r="CF52" s="435"/>
      <c r="CG52" s="436">
        <f>G52*0.5</f>
        <v>2624.2732500000002</v>
      </c>
      <c r="CH52" s="435"/>
      <c r="CI52" s="435"/>
      <c r="CJ52" s="435"/>
      <c r="CK52" s="435"/>
      <c r="CL52" s="435"/>
      <c r="CM52" s="437"/>
      <c r="CS52" s="2"/>
    </row>
    <row r="53" spans="1:97" ht="13.2" x14ac:dyDescent="0.25">
      <c r="A53" s="566" t="s">
        <v>246</v>
      </c>
      <c r="B53" s="335" t="s">
        <v>45</v>
      </c>
      <c r="C53" s="256" t="s">
        <v>0</v>
      </c>
      <c r="D53" s="257">
        <v>1</v>
      </c>
      <c r="E53" s="405">
        <f>'5. ORÇAMENTO SINAPE'!H52</f>
        <v>4748.43</v>
      </c>
      <c r="F53" s="405"/>
      <c r="G53" s="299">
        <f>D53*(E53+F53)</f>
        <v>4748.43</v>
      </c>
      <c r="H53" s="1"/>
      <c r="O53" s="1"/>
      <c r="U53" s="2"/>
      <c r="AC53" s="1"/>
      <c r="AI53" s="2"/>
      <c r="AQ53" s="1"/>
      <c r="AW53" s="2"/>
      <c r="BE53" s="1"/>
      <c r="BK53" s="2"/>
      <c r="BS53" s="1"/>
      <c r="BY53" s="2"/>
      <c r="BZ53" s="434">
        <f>G53*0.5</f>
        <v>2374.2150000000001</v>
      </c>
      <c r="CA53" s="435"/>
      <c r="CB53" s="435"/>
      <c r="CC53" s="435"/>
      <c r="CD53" s="435"/>
      <c r="CE53" s="435"/>
      <c r="CF53" s="435"/>
      <c r="CG53" s="436">
        <f>G53*0.5</f>
        <v>2374.2150000000001</v>
      </c>
      <c r="CH53" s="435"/>
      <c r="CI53" s="435"/>
      <c r="CJ53" s="435"/>
      <c r="CK53" s="435"/>
      <c r="CL53" s="435"/>
      <c r="CM53" s="437"/>
      <c r="CS53" s="2"/>
    </row>
    <row r="54" spans="1:97" ht="13.2" x14ac:dyDescent="0.25">
      <c r="B54" s="365" t="s">
        <v>141</v>
      </c>
      <c r="C54" s="366"/>
      <c r="D54" s="366"/>
      <c r="E54" s="366"/>
      <c r="F54" s="366"/>
      <c r="G54" s="366"/>
      <c r="H54" s="289"/>
      <c r="I54" s="290"/>
      <c r="J54" s="290"/>
      <c r="K54" s="290"/>
      <c r="L54" s="290"/>
      <c r="M54" s="290"/>
      <c r="N54" s="290"/>
      <c r="O54" s="289"/>
      <c r="P54" s="290"/>
      <c r="Q54" s="290"/>
      <c r="R54" s="290"/>
      <c r="S54" s="290"/>
      <c r="T54" s="290"/>
      <c r="U54" s="284"/>
      <c r="V54" s="290"/>
      <c r="W54" s="290"/>
      <c r="X54" s="290"/>
      <c r="Y54" s="290"/>
      <c r="Z54" s="290"/>
      <c r="AA54" s="290"/>
      <c r="AB54" s="290"/>
      <c r="AC54" s="289"/>
      <c r="AD54" s="290"/>
      <c r="AE54" s="290"/>
      <c r="AF54" s="290"/>
      <c r="AG54" s="290"/>
      <c r="AH54" s="290"/>
      <c r="AI54" s="284"/>
      <c r="AJ54" s="290"/>
      <c r="AK54" s="290"/>
      <c r="AL54" s="290"/>
      <c r="AM54" s="290"/>
      <c r="AN54" s="290"/>
      <c r="AO54" s="290"/>
      <c r="AP54" s="290"/>
      <c r="AQ54" s="289"/>
      <c r="AR54" s="290"/>
      <c r="AS54" s="290"/>
      <c r="AT54" s="290"/>
      <c r="AU54" s="290"/>
      <c r="AV54" s="290"/>
      <c r="AW54" s="284"/>
      <c r="AX54" s="290"/>
      <c r="AY54" s="290"/>
      <c r="AZ54" s="290"/>
      <c r="BA54" s="290"/>
      <c r="BB54" s="290"/>
      <c r="BC54" s="290"/>
      <c r="BD54" s="290"/>
      <c r="BE54" s="289"/>
      <c r="BF54" s="290"/>
      <c r="BG54" s="290"/>
      <c r="BH54" s="290"/>
      <c r="BI54" s="290"/>
      <c r="BJ54" s="290"/>
      <c r="BK54" s="284"/>
      <c r="BL54" s="290"/>
      <c r="BM54" s="290"/>
      <c r="BN54" s="290"/>
      <c r="BO54" s="290"/>
      <c r="BP54" s="290"/>
      <c r="BQ54" s="290"/>
      <c r="BR54" s="290"/>
      <c r="BS54" s="289"/>
      <c r="BT54" s="290"/>
      <c r="BU54" s="290"/>
      <c r="BV54" s="290"/>
      <c r="BW54" s="290"/>
      <c r="BX54" s="290"/>
      <c r="BY54" s="284"/>
      <c r="BZ54" s="290"/>
      <c r="CA54" s="290"/>
      <c r="CB54" s="290"/>
      <c r="CC54" s="290"/>
      <c r="CD54" s="290"/>
      <c r="CE54" s="290"/>
      <c r="CF54" s="290"/>
      <c r="CG54" s="289"/>
      <c r="CH54" s="290"/>
      <c r="CI54" s="290"/>
      <c r="CJ54" s="290"/>
      <c r="CK54" s="290"/>
      <c r="CL54" s="290"/>
      <c r="CM54" s="284"/>
      <c r="CN54" s="290"/>
      <c r="CO54" s="290"/>
      <c r="CP54" s="290"/>
      <c r="CQ54" s="290"/>
      <c r="CR54" s="290"/>
      <c r="CS54" s="284"/>
    </row>
    <row r="55" spans="1:97" ht="13.2" x14ac:dyDescent="0.25">
      <c r="A55" s="283">
        <v>97662</v>
      </c>
      <c r="B55" s="331" t="s">
        <v>25</v>
      </c>
      <c r="C55" s="260" t="s">
        <v>17</v>
      </c>
      <c r="D55" s="271">
        <f>(9.3+9.3+3.3+3.3)*3</f>
        <v>75.600000000000009</v>
      </c>
      <c r="E55" s="388">
        <f>'5. ORÇAMENTO SINAPE'!H54</f>
        <v>0.92130000000000012</v>
      </c>
      <c r="F55" s="388"/>
      <c r="G55" s="296">
        <f>D55*(E55+F55)</f>
        <v>69.650280000000024</v>
      </c>
      <c r="H55" s="1"/>
      <c r="O55" s="1"/>
      <c r="U55" s="2"/>
      <c r="AC55" s="1"/>
      <c r="AI55" s="2"/>
      <c r="AQ55" s="1"/>
      <c r="AW55" s="2"/>
      <c r="BE55" s="459">
        <f>G55*(1/3)</f>
        <v>23.216760000000008</v>
      </c>
      <c r="BF55" s="447"/>
      <c r="BG55" s="447"/>
      <c r="BH55" s="447"/>
      <c r="BI55" s="447"/>
      <c r="BJ55" s="447"/>
      <c r="BK55" s="460"/>
      <c r="BL55" s="446">
        <f>G55*1/3</f>
        <v>23.216760000000008</v>
      </c>
      <c r="BM55" s="447"/>
      <c r="BN55" s="447"/>
      <c r="BO55" s="447"/>
      <c r="BP55" s="447"/>
      <c r="BQ55" s="447"/>
      <c r="BR55" s="447"/>
      <c r="BS55" s="459">
        <f>G55*1/3</f>
        <v>23.216760000000008</v>
      </c>
      <c r="BT55" s="447"/>
      <c r="BU55" s="447"/>
      <c r="BV55" s="447"/>
      <c r="BW55" s="447"/>
      <c r="BX55" s="447"/>
      <c r="BY55" s="460"/>
      <c r="CG55" s="1"/>
      <c r="CM55" s="2"/>
      <c r="CS55" s="2"/>
    </row>
    <row r="56" spans="1:97" ht="13.2" x14ac:dyDescent="0.25">
      <c r="A56" s="283">
        <v>99837</v>
      </c>
      <c r="B56" s="331" t="s">
        <v>26</v>
      </c>
      <c r="C56" s="260" t="s">
        <v>17</v>
      </c>
      <c r="D56" s="271">
        <f>(9.3+9.3+3.3+3.3)*3</f>
        <v>75.600000000000009</v>
      </c>
      <c r="E56" s="388">
        <f>'5. ORÇAMENTO SINAPE'!H55</f>
        <v>858.75120000000004</v>
      </c>
      <c r="F56" s="388"/>
      <c r="G56" s="296">
        <f>D56*(E56+F56)</f>
        <v>64921.590720000007</v>
      </c>
      <c r="H56" s="1"/>
      <c r="O56" s="1"/>
      <c r="U56" s="2"/>
      <c r="AC56" s="1"/>
      <c r="AI56" s="2"/>
      <c r="AQ56" s="1"/>
      <c r="AW56" s="2"/>
      <c r="BE56" s="459">
        <f>G56*(1/3)</f>
        <v>21640.53024</v>
      </c>
      <c r="BF56" s="447"/>
      <c r="BG56" s="447"/>
      <c r="BH56" s="447"/>
      <c r="BI56" s="447"/>
      <c r="BJ56" s="447"/>
      <c r="BK56" s="460"/>
      <c r="BL56" s="446">
        <f>G56*(1/3)</f>
        <v>21640.53024</v>
      </c>
      <c r="BM56" s="447"/>
      <c r="BN56" s="447"/>
      <c r="BO56" s="447"/>
      <c r="BP56" s="447"/>
      <c r="BQ56" s="447"/>
      <c r="BR56" s="447"/>
      <c r="BS56" s="459">
        <f>G56*(1/3)</f>
        <v>21640.53024</v>
      </c>
      <c r="BT56" s="447"/>
      <c r="BU56" s="447"/>
      <c r="BV56" s="447"/>
      <c r="BW56" s="447"/>
      <c r="BX56" s="447"/>
      <c r="BY56" s="460"/>
      <c r="CG56" s="1"/>
      <c r="CM56" s="2"/>
      <c r="CS56" s="2"/>
    </row>
    <row r="57" spans="1:97" ht="13.2" x14ac:dyDescent="0.25">
      <c r="B57" s="365" t="s">
        <v>121</v>
      </c>
      <c r="C57" s="366"/>
      <c r="D57" s="366"/>
      <c r="E57" s="366"/>
      <c r="F57" s="366"/>
      <c r="G57" s="366"/>
      <c r="H57" s="289"/>
      <c r="I57" s="290"/>
      <c r="J57" s="290"/>
      <c r="K57" s="290"/>
      <c r="L57" s="290"/>
      <c r="M57" s="290"/>
      <c r="N57" s="290"/>
      <c r="O57" s="289"/>
      <c r="P57" s="290"/>
      <c r="Q57" s="290"/>
      <c r="R57" s="290"/>
      <c r="S57" s="290"/>
      <c r="T57" s="290"/>
      <c r="U57" s="284"/>
      <c r="V57" s="290"/>
      <c r="W57" s="290"/>
      <c r="X57" s="290"/>
      <c r="Y57" s="290"/>
      <c r="Z57" s="290"/>
      <c r="AA57" s="290"/>
      <c r="AB57" s="290"/>
      <c r="AC57" s="289"/>
      <c r="AD57" s="290"/>
      <c r="AE57" s="290"/>
      <c r="AF57" s="290"/>
      <c r="AG57" s="290"/>
      <c r="AH57" s="290"/>
      <c r="AI57" s="284"/>
      <c r="AJ57" s="290"/>
      <c r="AK57" s="290"/>
      <c r="AL57" s="290"/>
      <c r="AM57" s="290"/>
      <c r="AN57" s="290"/>
      <c r="AO57" s="290"/>
      <c r="AP57" s="290"/>
      <c r="AQ57" s="289"/>
      <c r="AR57" s="290"/>
      <c r="AS57" s="290"/>
      <c r="AT57" s="290"/>
      <c r="AU57" s="290"/>
      <c r="AV57" s="290"/>
      <c r="AW57" s="284"/>
      <c r="AX57" s="290"/>
      <c r="AY57" s="290"/>
      <c r="AZ57" s="290"/>
      <c r="BA57" s="290"/>
      <c r="BB57" s="290"/>
      <c r="BC57" s="290"/>
      <c r="BD57" s="290"/>
      <c r="BE57" s="289"/>
      <c r="BF57" s="290"/>
      <c r="BG57" s="290"/>
      <c r="BH57" s="290"/>
      <c r="BI57" s="290"/>
      <c r="BJ57" s="290"/>
      <c r="BK57" s="284"/>
      <c r="BL57" s="290"/>
      <c r="BM57" s="290"/>
      <c r="BN57" s="290"/>
      <c r="BO57" s="290"/>
      <c r="BP57" s="290"/>
      <c r="BQ57" s="290"/>
      <c r="BR57" s="290"/>
      <c r="BS57" s="289"/>
      <c r="BT57" s="290"/>
      <c r="BU57" s="290"/>
      <c r="BV57" s="290"/>
      <c r="BW57" s="290"/>
      <c r="BX57" s="290"/>
      <c r="BY57" s="284"/>
      <c r="BZ57" s="290"/>
      <c r="CA57" s="290"/>
      <c r="CB57" s="290"/>
      <c r="CC57" s="290"/>
      <c r="CD57" s="290"/>
      <c r="CE57" s="290"/>
      <c r="CF57" s="290"/>
      <c r="CG57" s="289"/>
      <c r="CH57" s="290"/>
      <c r="CI57" s="290"/>
      <c r="CJ57" s="290"/>
      <c r="CK57" s="290"/>
      <c r="CL57" s="290"/>
      <c r="CM57" s="284"/>
      <c r="CN57" s="290"/>
      <c r="CO57" s="290"/>
      <c r="CP57" s="290"/>
      <c r="CQ57" s="290"/>
      <c r="CR57" s="290"/>
      <c r="CS57" s="284"/>
    </row>
    <row r="58" spans="1:97" ht="13.2" x14ac:dyDescent="0.25">
      <c r="A58" s="283">
        <v>88484</v>
      </c>
      <c r="B58" s="333" t="s">
        <v>115</v>
      </c>
      <c r="C58" s="279" t="s">
        <v>4</v>
      </c>
      <c r="D58" s="323">
        <f>(7.35+4.86)*3*2</f>
        <v>73.260000000000005</v>
      </c>
      <c r="E58" s="395">
        <f>'5. ORÇAMENTO SINAPE'!H57</f>
        <v>4.6812000000000005</v>
      </c>
      <c r="F58" s="396"/>
      <c r="G58" s="297">
        <f>D58*(E58+F58)</f>
        <v>342.94471200000004</v>
      </c>
      <c r="H58" s="1"/>
      <c r="O58" s="1"/>
      <c r="U58" s="2"/>
      <c r="AC58" s="1"/>
      <c r="AI58" s="2"/>
      <c r="AQ58" s="1"/>
      <c r="AW58" s="2"/>
      <c r="BE58" s="1"/>
      <c r="BK58" s="2"/>
      <c r="BS58" s="1"/>
      <c r="BY58" s="2"/>
      <c r="CG58" s="428">
        <f>G58*1</f>
        <v>342.94471200000004</v>
      </c>
      <c r="CH58" s="432"/>
      <c r="CI58" s="432"/>
      <c r="CJ58" s="432"/>
      <c r="CK58" s="432"/>
      <c r="CL58" s="432"/>
      <c r="CM58" s="432"/>
      <c r="CS58" s="2"/>
    </row>
    <row r="59" spans="1:97" ht="13.2" x14ac:dyDescent="0.25">
      <c r="A59" s="283" t="s">
        <v>149</v>
      </c>
      <c r="B59" s="333" t="s">
        <v>54</v>
      </c>
      <c r="C59" s="246" t="s">
        <v>4</v>
      </c>
      <c r="D59" s="323">
        <f>(7.35+4.86)*3*2</f>
        <v>73.260000000000005</v>
      </c>
      <c r="E59" s="395">
        <f>'5. ORÇAMENTO SINAPE'!H58</f>
        <v>52.277549999999998</v>
      </c>
      <c r="F59" s="396"/>
      <c r="G59" s="297">
        <f>D59*(E59+F59)</f>
        <v>3829.8533130000001</v>
      </c>
      <c r="H59" s="1"/>
      <c r="O59" s="1"/>
      <c r="U59" s="2"/>
      <c r="AC59" s="1"/>
      <c r="AI59" s="2"/>
      <c r="AQ59" s="1"/>
      <c r="AW59" s="2"/>
      <c r="BE59" s="1"/>
      <c r="BK59" s="2"/>
      <c r="BS59" s="1"/>
      <c r="BY59" s="2"/>
      <c r="CG59" s="428">
        <f>G59*1</f>
        <v>3829.8533130000001</v>
      </c>
      <c r="CH59" s="432"/>
      <c r="CI59" s="432"/>
      <c r="CJ59" s="432"/>
      <c r="CK59" s="432"/>
      <c r="CL59" s="432"/>
      <c r="CM59" s="432"/>
      <c r="CS59" s="2"/>
    </row>
    <row r="60" spans="1:97" ht="13.2" x14ac:dyDescent="0.25">
      <c r="A60" s="283">
        <v>96369</v>
      </c>
      <c r="B60" s="338" t="s">
        <v>33</v>
      </c>
      <c r="C60" s="269" t="s">
        <v>4</v>
      </c>
      <c r="D60" s="324">
        <f>(4.68+3.28)*2.7</f>
        <v>21.491999999999997</v>
      </c>
      <c r="E60" s="407">
        <f>'5. ORÇAMENTO SINAPE'!H59</f>
        <v>288.40425000000005</v>
      </c>
      <c r="F60" s="408"/>
      <c r="G60" s="300">
        <f>D60*(E60+F60)</f>
        <v>6198.3841410000005</v>
      </c>
      <c r="H60" s="1"/>
      <c r="O60" s="1"/>
      <c r="U60" s="2"/>
      <c r="AC60" s="1"/>
      <c r="AI60" s="2"/>
      <c r="AQ60" s="1"/>
      <c r="AW60" s="2"/>
      <c r="BE60" s="1"/>
      <c r="BK60" s="2"/>
      <c r="BS60" s="461">
        <f>G60*1</f>
        <v>6198.3841410000005</v>
      </c>
      <c r="BT60" s="449"/>
      <c r="BU60" s="449"/>
      <c r="BV60" s="449"/>
      <c r="BW60" s="449"/>
      <c r="BX60" s="449"/>
      <c r="BY60" s="462"/>
      <c r="CG60" s="1"/>
      <c r="CM60" s="2"/>
      <c r="CS60" s="2"/>
    </row>
    <row r="61" spans="1:97" ht="13.2" x14ac:dyDescent="0.25">
      <c r="A61" s="283">
        <v>100675</v>
      </c>
      <c r="B61" s="339" t="s">
        <v>53</v>
      </c>
      <c r="C61" s="254" t="s">
        <v>0</v>
      </c>
      <c r="D61" s="255">
        <v>1</v>
      </c>
      <c r="E61" s="397">
        <f>'5. ORÇAMENTO SINAPE'!H60</f>
        <v>1113.4657500000001</v>
      </c>
      <c r="F61" s="398"/>
      <c r="G61" s="298">
        <f>D61*(E61+F61)</f>
        <v>1113.4657500000001</v>
      </c>
      <c r="H61" s="1"/>
      <c r="O61" s="1"/>
      <c r="U61" s="2"/>
      <c r="AC61" s="1"/>
      <c r="AI61" s="2"/>
      <c r="AQ61" s="1"/>
      <c r="AW61" s="2"/>
      <c r="BE61" s="1"/>
      <c r="BK61" s="2"/>
      <c r="BS61" s="1"/>
      <c r="BY61" s="2"/>
      <c r="BZ61" s="454">
        <f>G61*1</f>
        <v>1113.4657500000001</v>
      </c>
      <c r="CA61" s="455"/>
      <c r="CB61" s="455"/>
      <c r="CC61" s="455"/>
      <c r="CD61" s="455"/>
      <c r="CE61" s="455"/>
      <c r="CF61" s="455"/>
      <c r="CG61" s="1"/>
      <c r="CM61" s="2"/>
      <c r="CS61" s="2"/>
    </row>
    <row r="62" spans="1:97" ht="13.2" x14ac:dyDescent="0.25">
      <c r="A62" s="566" t="s">
        <v>246</v>
      </c>
      <c r="B62" s="335" t="s">
        <v>52</v>
      </c>
      <c r="C62" s="272" t="s">
        <v>0</v>
      </c>
      <c r="D62" s="273">
        <v>1</v>
      </c>
      <c r="E62" s="406">
        <f>'5. ORÇAMENTO SINAPE'!H61</f>
        <v>311.25</v>
      </c>
      <c r="F62" s="406"/>
      <c r="G62" s="299">
        <f>D62*(E62+F62)</f>
        <v>311.25</v>
      </c>
      <c r="H62" s="1"/>
      <c r="O62" s="1"/>
      <c r="U62" s="2"/>
      <c r="AC62" s="1"/>
      <c r="AI62" s="2"/>
      <c r="AQ62" s="1"/>
      <c r="AW62" s="2"/>
      <c r="BE62" s="1"/>
      <c r="BK62" s="2"/>
      <c r="BS62" s="1"/>
      <c r="BY62" s="2"/>
      <c r="CG62" s="436">
        <f>G62*1</f>
        <v>311.25</v>
      </c>
      <c r="CH62" s="435"/>
      <c r="CI62" s="435"/>
      <c r="CJ62" s="435"/>
      <c r="CK62" s="435"/>
      <c r="CL62" s="435"/>
      <c r="CM62" s="437"/>
      <c r="CS62" s="2"/>
    </row>
    <row r="63" spans="1:97" ht="13.2" x14ac:dyDescent="0.25">
      <c r="A63" s="566" t="s">
        <v>246</v>
      </c>
      <c r="B63" s="337" t="s">
        <v>230</v>
      </c>
      <c r="C63" s="258" t="s">
        <v>0</v>
      </c>
      <c r="D63" s="259">
        <v>3</v>
      </c>
      <c r="E63" s="403">
        <f>E36</f>
        <v>152.00205000000003</v>
      </c>
      <c r="F63" s="404"/>
      <c r="G63" s="295">
        <f>D63*(E63+F63)</f>
        <v>456.00615000000005</v>
      </c>
      <c r="H63" s="1"/>
      <c r="O63" s="1"/>
      <c r="U63" s="2"/>
      <c r="AC63" s="1"/>
      <c r="AI63" s="2"/>
      <c r="AQ63" s="1"/>
      <c r="AW63" s="2"/>
      <c r="BE63" s="1"/>
      <c r="BK63" s="2"/>
      <c r="BS63" s="444">
        <f>G63*1</f>
        <v>456.00615000000005</v>
      </c>
      <c r="BT63" s="556"/>
      <c r="BU63" s="556"/>
      <c r="BV63" s="556"/>
      <c r="BW63" s="556"/>
      <c r="BX63" s="556"/>
      <c r="BY63" s="445"/>
      <c r="CG63" s="352"/>
      <c r="CH63" s="354"/>
      <c r="CI63" s="354"/>
      <c r="CJ63" s="354"/>
      <c r="CK63" s="354"/>
      <c r="CL63" s="354"/>
      <c r="CM63" s="355"/>
      <c r="CS63" s="2"/>
    </row>
    <row r="64" spans="1:97" ht="13.2" x14ac:dyDescent="0.25">
      <c r="B64" s="393" t="s">
        <v>122</v>
      </c>
      <c r="C64" s="394"/>
      <c r="D64" s="394"/>
      <c r="E64" s="394"/>
      <c r="F64" s="394"/>
      <c r="G64" s="394"/>
      <c r="H64" s="289"/>
      <c r="I64" s="290"/>
      <c r="J64" s="290"/>
      <c r="K64" s="290"/>
      <c r="L64" s="290"/>
      <c r="M64" s="290"/>
      <c r="N64" s="290"/>
      <c r="O64" s="289"/>
      <c r="P64" s="290"/>
      <c r="Q64" s="290"/>
      <c r="R64" s="290"/>
      <c r="S64" s="290"/>
      <c r="T64" s="290"/>
      <c r="U64" s="284"/>
      <c r="V64" s="290"/>
      <c r="W64" s="290"/>
      <c r="X64" s="290"/>
      <c r="Y64" s="290"/>
      <c r="Z64" s="290"/>
      <c r="AA64" s="290"/>
      <c r="AB64" s="290"/>
      <c r="AC64" s="289"/>
      <c r="AD64" s="290"/>
      <c r="AE64" s="290"/>
      <c r="AF64" s="290"/>
      <c r="AG64" s="290"/>
      <c r="AH64" s="290"/>
      <c r="AI64" s="284"/>
      <c r="AJ64" s="290"/>
      <c r="AK64" s="290"/>
      <c r="AL64" s="290"/>
      <c r="AM64" s="290"/>
      <c r="AN64" s="290"/>
      <c r="AO64" s="290"/>
      <c r="AP64" s="290"/>
      <c r="AQ64" s="289"/>
      <c r="AR64" s="290"/>
      <c r="AS64" s="290"/>
      <c r="AT64" s="290"/>
      <c r="AU64" s="290"/>
      <c r="AV64" s="290"/>
      <c r="AW64" s="284"/>
      <c r="AX64" s="290"/>
      <c r="AY64" s="290"/>
      <c r="AZ64" s="290"/>
      <c r="BA64" s="290"/>
      <c r="BB64" s="290"/>
      <c r="BC64" s="290"/>
      <c r="BD64" s="290"/>
      <c r="BE64" s="289"/>
      <c r="BF64" s="290"/>
      <c r="BG64" s="290"/>
      <c r="BH64" s="290"/>
      <c r="BI64" s="290"/>
      <c r="BJ64" s="290"/>
      <c r="BK64" s="284"/>
      <c r="BL64" s="290"/>
      <c r="BM64" s="290"/>
      <c r="BN64" s="290"/>
      <c r="BO64" s="290"/>
      <c r="BP64" s="290"/>
      <c r="BQ64" s="290"/>
      <c r="BR64" s="290"/>
      <c r="BS64" s="289"/>
      <c r="BT64" s="290"/>
      <c r="BU64" s="290"/>
      <c r="BV64" s="290"/>
      <c r="BW64" s="290"/>
      <c r="BX64" s="290"/>
      <c r="BY64" s="284"/>
      <c r="BZ64" s="290"/>
      <c r="CA64" s="290"/>
      <c r="CB64" s="290"/>
      <c r="CC64" s="290"/>
      <c r="CD64" s="290"/>
      <c r="CE64" s="290"/>
      <c r="CF64" s="290"/>
      <c r="CG64" s="289"/>
      <c r="CH64" s="290"/>
      <c r="CI64" s="290"/>
      <c r="CJ64" s="290"/>
      <c r="CK64" s="290"/>
      <c r="CL64" s="290"/>
      <c r="CM64" s="284"/>
      <c r="CN64" s="290"/>
      <c r="CO64" s="290"/>
      <c r="CP64" s="290"/>
      <c r="CQ64" s="290"/>
      <c r="CR64" s="290"/>
      <c r="CS64" s="284"/>
    </row>
    <row r="65" spans="1:97" ht="13.2" x14ac:dyDescent="0.25">
      <c r="A65" s="566" t="s">
        <v>246</v>
      </c>
      <c r="B65" s="335" t="s">
        <v>133</v>
      </c>
      <c r="C65" s="256" t="s">
        <v>0</v>
      </c>
      <c r="D65" s="257">
        <v>1</v>
      </c>
      <c r="E65" s="406">
        <f>'5. ORÇAMENTO SINAPE'!H64</f>
        <v>124.50000000000001</v>
      </c>
      <c r="F65" s="406"/>
      <c r="G65" s="299">
        <f>D65*(E65+F65)</f>
        <v>124.50000000000001</v>
      </c>
      <c r="H65" s="1"/>
      <c r="O65" s="1"/>
      <c r="U65" s="2"/>
      <c r="AC65" s="1"/>
      <c r="AI65" s="2"/>
      <c r="AQ65" s="1"/>
      <c r="AW65" s="2"/>
      <c r="BE65" s="1"/>
      <c r="BK65" s="2"/>
      <c r="BS65" s="1"/>
      <c r="BY65" s="2"/>
      <c r="BZ65" s="434">
        <f>G65*0.5</f>
        <v>62.250000000000007</v>
      </c>
      <c r="CA65" s="435"/>
      <c r="CB65" s="435"/>
      <c r="CC65" s="435"/>
      <c r="CD65" s="435"/>
      <c r="CE65" s="435"/>
      <c r="CF65" s="435"/>
      <c r="CG65" s="436">
        <f>G65*0.5</f>
        <v>62.250000000000007</v>
      </c>
      <c r="CH65" s="435"/>
      <c r="CI65" s="435"/>
      <c r="CJ65" s="435"/>
      <c r="CK65" s="435"/>
      <c r="CL65" s="435"/>
      <c r="CM65" s="437"/>
      <c r="CS65" s="2"/>
    </row>
    <row r="66" spans="1:97" ht="13.2" x14ac:dyDescent="0.25">
      <c r="A66" s="283">
        <v>97637</v>
      </c>
      <c r="B66" s="343" t="s">
        <v>123</v>
      </c>
      <c r="C66" s="269" t="s">
        <v>4</v>
      </c>
      <c r="D66" s="270">
        <f>3.62*2.7</f>
        <v>9.7740000000000009</v>
      </c>
      <c r="E66" s="401">
        <f>'5. ORÇAMENTO SINAPE'!H65</f>
        <v>3.8346000000000005</v>
      </c>
      <c r="F66" s="402"/>
      <c r="G66" s="300">
        <f>D66*E66</f>
        <v>37.479380400000011</v>
      </c>
      <c r="H66" s="1"/>
      <c r="O66" s="1"/>
      <c r="U66" s="2"/>
      <c r="AC66" s="1"/>
      <c r="AI66" s="2"/>
      <c r="AQ66" s="1"/>
      <c r="AW66" s="2"/>
      <c r="BE66" s="1"/>
      <c r="BK66" s="2"/>
      <c r="BS66" s="461">
        <f>G66*1</f>
        <v>37.479380400000011</v>
      </c>
      <c r="BT66" s="449"/>
      <c r="BU66" s="449"/>
      <c r="BV66" s="449"/>
      <c r="BW66" s="449"/>
      <c r="BX66" s="449"/>
      <c r="BY66" s="462"/>
      <c r="CG66" s="1"/>
      <c r="CM66" s="2"/>
      <c r="CS66" s="2"/>
    </row>
    <row r="67" spans="1:97" ht="13.2" x14ac:dyDescent="0.25">
      <c r="A67" s="283">
        <v>88484</v>
      </c>
      <c r="B67" s="333" t="s">
        <v>239</v>
      </c>
      <c r="C67" s="279" t="s">
        <v>4</v>
      </c>
      <c r="D67" s="278">
        <f>18.44*2.7</f>
        <v>49.788000000000004</v>
      </c>
      <c r="E67" s="395">
        <f>'5. ORÇAMENTO SINAPE'!H66</f>
        <v>4.6812000000000005</v>
      </c>
      <c r="F67" s="396"/>
      <c r="G67" s="297">
        <f>D67*(E67+F67)</f>
        <v>233.06758560000003</v>
      </c>
      <c r="H67" s="1"/>
      <c r="O67" s="1"/>
      <c r="U67" s="2"/>
      <c r="AC67" s="1"/>
      <c r="AI67" s="2"/>
      <c r="AQ67" s="1"/>
      <c r="AW67" s="2"/>
      <c r="BE67" s="1"/>
      <c r="BK67" s="2"/>
      <c r="BZ67" s="431">
        <f>G67*1</f>
        <v>233.06758560000003</v>
      </c>
      <c r="CA67" s="558"/>
      <c r="CB67" s="558"/>
      <c r="CC67" s="558"/>
      <c r="CD67" s="558"/>
      <c r="CE67" s="558"/>
      <c r="CF67" s="559"/>
      <c r="CG67" s="1"/>
      <c r="CM67" s="2"/>
      <c r="CS67" s="2"/>
    </row>
    <row r="68" spans="1:97" ht="13.2" x14ac:dyDescent="0.25">
      <c r="A68" s="283" t="s">
        <v>149</v>
      </c>
      <c r="B68" s="333" t="s">
        <v>240</v>
      </c>
      <c r="C68" s="246" t="s">
        <v>4</v>
      </c>
      <c r="D68" s="278">
        <f>18.44*2.7</f>
        <v>49.788000000000004</v>
      </c>
      <c r="E68" s="395">
        <f>'5. ORÇAMENTO SINAPE'!H67</f>
        <v>52.277549999999998</v>
      </c>
      <c r="F68" s="396"/>
      <c r="G68" s="297">
        <f>D68*(E68+F68)</f>
        <v>2602.7946594</v>
      </c>
      <c r="H68" s="1"/>
      <c r="O68" s="1"/>
      <c r="U68" s="2"/>
      <c r="AC68" s="1"/>
      <c r="AI68" s="2"/>
      <c r="AQ68" s="1"/>
      <c r="AW68" s="2"/>
      <c r="BE68" s="1"/>
      <c r="BK68" s="2"/>
      <c r="BZ68" s="431">
        <f>G68*1</f>
        <v>2602.7946594</v>
      </c>
      <c r="CA68" s="558"/>
      <c r="CB68" s="558"/>
      <c r="CC68" s="558"/>
      <c r="CD68" s="558"/>
      <c r="CE68" s="558"/>
      <c r="CF68" s="559"/>
      <c r="CG68" s="1"/>
      <c r="CM68" s="2"/>
      <c r="CS68" s="2"/>
    </row>
    <row r="69" spans="1:97" ht="13.2" x14ac:dyDescent="0.25">
      <c r="B69" s="393" t="s">
        <v>126</v>
      </c>
      <c r="C69" s="394"/>
      <c r="D69" s="394"/>
      <c r="E69" s="394"/>
      <c r="F69" s="394"/>
      <c r="G69" s="394"/>
      <c r="H69" s="289"/>
      <c r="I69" s="290"/>
      <c r="J69" s="290"/>
      <c r="K69" s="290"/>
      <c r="L69" s="290"/>
      <c r="M69" s="290"/>
      <c r="N69" s="290"/>
      <c r="O69" s="289"/>
      <c r="P69" s="290"/>
      <c r="Q69" s="290"/>
      <c r="R69" s="290"/>
      <c r="S69" s="290"/>
      <c r="T69" s="290"/>
      <c r="U69" s="284"/>
      <c r="V69" s="290"/>
      <c r="W69" s="290"/>
      <c r="X69" s="290"/>
      <c r="Y69" s="290"/>
      <c r="Z69" s="290"/>
      <c r="AA69" s="290"/>
      <c r="AB69" s="290"/>
      <c r="AC69" s="289"/>
      <c r="AD69" s="290"/>
      <c r="AE69" s="290"/>
      <c r="AF69" s="290"/>
      <c r="AG69" s="290"/>
      <c r="AH69" s="290"/>
      <c r="AI69" s="284"/>
      <c r="AJ69" s="290"/>
      <c r="AK69" s="290"/>
      <c r="AL69" s="290"/>
      <c r="AM69" s="290"/>
      <c r="AN69" s="290"/>
      <c r="AO69" s="290"/>
      <c r="AP69" s="290"/>
      <c r="AQ69" s="289"/>
      <c r="AR69" s="290"/>
      <c r="AS69" s="290"/>
      <c r="AT69" s="290"/>
      <c r="AU69" s="290"/>
      <c r="AV69" s="290"/>
      <c r="AW69" s="284"/>
      <c r="AX69" s="290"/>
      <c r="AY69" s="290"/>
      <c r="AZ69" s="290"/>
      <c r="BA69" s="290"/>
      <c r="BB69" s="290"/>
      <c r="BC69" s="290"/>
      <c r="BD69" s="290"/>
      <c r="BE69" s="289"/>
      <c r="BF69" s="290"/>
      <c r="BG69" s="290"/>
      <c r="BH69" s="290"/>
      <c r="BI69" s="290"/>
      <c r="BJ69" s="290"/>
      <c r="BK69" s="284"/>
      <c r="BL69" s="290"/>
      <c r="BM69" s="290"/>
      <c r="BN69" s="290"/>
      <c r="BO69" s="290"/>
      <c r="BP69" s="290"/>
      <c r="BQ69" s="290"/>
      <c r="BR69" s="290"/>
      <c r="BS69" s="289"/>
      <c r="BT69" s="290"/>
      <c r="BU69" s="290"/>
      <c r="BV69" s="290"/>
      <c r="BW69" s="290"/>
      <c r="BX69" s="290"/>
      <c r="BY69" s="284"/>
      <c r="BZ69" s="290"/>
      <c r="CA69" s="290"/>
      <c r="CB69" s="290"/>
      <c r="CC69" s="290"/>
      <c r="CD69" s="290"/>
      <c r="CE69" s="290"/>
      <c r="CF69" s="290"/>
      <c r="CG69" s="289"/>
      <c r="CH69" s="290"/>
      <c r="CI69" s="290"/>
      <c r="CJ69" s="290"/>
      <c r="CK69" s="290"/>
      <c r="CL69" s="290"/>
      <c r="CM69" s="284"/>
      <c r="CN69" s="290"/>
      <c r="CO69" s="290"/>
      <c r="CP69" s="290"/>
      <c r="CQ69" s="290"/>
      <c r="CR69" s="290"/>
      <c r="CS69" s="284"/>
    </row>
    <row r="70" spans="1:97" ht="13.2" x14ac:dyDescent="0.25">
      <c r="A70" s="283">
        <v>101739</v>
      </c>
      <c r="B70" s="334" t="s">
        <v>134</v>
      </c>
      <c r="C70" s="254" t="s">
        <v>17</v>
      </c>
      <c r="D70" s="255">
        <v>18.440000000000001</v>
      </c>
      <c r="E70" s="397">
        <f>'5. ORÇAMENTO SINAPE'!H69</f>
        <v>40.213500000000003</v>
      </c>
      <c r="F70" s="398"/>
      <c r="G70" s="298">
        <f>D70*(E70+F70)</f>
        <v>741.53694000000007</v>
      </c>
      <c r="H70" s="1"/>
      <c r="O70" s="1"/>
      <c r="U70" s="2"/>
      <c r="AC70" s="1"/>
      <c r="AI70" s="2"/>
      <c r="AQ70" s="1"/>
      <c r="AW70" s="2"/>
      <c r="BE70" s="1"/>
      <c r="BK70" s="2"/>
      <c r="BS70" s="442">
        <f>G70*0.5</f>
        <v>370.76847000000004</v>
      </c>
      <c r="BT70" s="441"/>
      <c r="BU70" s="441"/>
      <c r="BV70" s="441"/>
      <c r="BW70" s="441"/>
      <c r="BX70" s="441"/>
      <c r="BY70" s="443"/>
      <c r="BZ70" s="440">
        <f>G70*0.5</f>
        <v>370.76847000000004</v>
      </c>
      <c r="CA70" s="441"/>
      <c r="CB70" s="441"/>
      <c r="CC70" s="441"/>
      <c r="CD70" s="441"/>
      <c r="CE70" s="441"/>
      <c r="CF70" s="441"/>
      <c r="CG70" s="1"/>
      <c r="CM70" s="2"/>
      <c r="CS70" s="2"/>
    </row>
    <row r="71" spans="1:97" ht="13.2" x14ac:dyDescent="0.25">
      <c r="A71" s="283">
        <v>88484</v>
      </c>
      <c r="B71" s="333" t="s">
        <v>233</v>
      </c>
      <c r="C71" s="279" t="s">
        <v>4</v>
      </c>
      <c r="D71" s="278">
        <f>18.44*2.7</f>
        <v>49.788000000000004</v>
      </c>
      <c r="E71" s="395">
        <f>'5. ORÇAMENTO SINAPE'!H70</f>
        <v>4.6812000000000005</v>
      </c>
      <c r="F71" s="396"/>
      <c r="G71" s="297">
        <f>D71*(E71+F71)</f>
        <v>233.06758560000003</v>
      </c>
      <c r="H71" s="1"/>
      <c r="O71" s="1"/>
      <c r="U71" s="2"/>
      <c r="AC71" s="1"/>
      <c r="AI71" s="2"/>
      <c r="AQ71" s="1"/>
      <c r="AW71" s="2"/>
      <c r="BE71" s="1"/>
      <c r="BK71" s="2"/>
      <c r="BL71" s="428">
        <f>G71*1</f>
        <v>233.06758560000003</v>
      </c>
      <c r="BM71" s="432"/>
      <c r="BN71" s="432"/>
      <c r="BO71" s="432"/>
      <c r="BP71" s="432"/>
      <c r="BQ71" s="432"/>
      <c r="BR71" s="432"/>
      <c r="BS71" s="1"/>
      <c r="BY71" s="2"/>
      <c r="CG71" s="1"/>
      <c r="CM71" s="2"/>
      <c r="CS71" s="2"/>
    </row>
    <row r="72" spans="1:97" ht="13.2" x14ac:dyDescent="0.25">
      <c r="A72" s="283" t="s">
        <v>149</v>
      </c>
      <c r="B72" s="333" t="s">
        <v>234</v>
      </c>
      <c r="C72" s="246" t="s">
        <v>4</v>
      </c>
      <c r="D72" s="278">
        <f>18.44*2.7</f>
        <v>49.788000000000004</v>
      </c>
      <c r="E72" s="395">
        <f>'5. ORÇAMENTO SINAPE'!H71</f>
        <v>52.277549999999998</v>
      </c>
      <c r="F72" s="396"/>
      <c r="G72" s="297">
        <f>D72*(E72+F72)</f>
        <v>2602.7946594</v>
      </c>
      <c r="H72" s="1"/>
      <c r="O72" s="1"/>
      <c r="U72" s="2"/>
      <c r="AC72" s="1"/>
      <c r="AI72" s="2"/>
      <c r="AQ72" s="1"/>
      <c r="AW72" s="2"/>
      <c r="BE72" s="1"/>
      <c r="BK72" s="2"/>
      <c r="BL72" s="428">
        <f>G72*1</f>
        <v>2602.7946594</v>
      </c>
      <c r="BM72" s="432"/>
      <c r="BN72" s="432"/>
      <c r="BO72" s="432"/>
      <c r="BP72" s="432"/>
      <c r="BQ72" s="432"/>
      <c r="BR72" s="432"/>
      <c r="BS72" s="1"/>
      <c r="BY72" s="2"/>
      <c r="CG72" s="1"/>
      <c r="CM72" s="2"/>
      <c r="CS72" s="2"/>
    </row>
    <row r="73" spans="1:97" ht="13.2" x14ac:dyDescent="0.25">
      <c r="B73" s="365" t="s">
        <v>127</v>
      </c>
      <c r="C73" s="366"/>
      <c r="D73" s="366"/>
      <c r="E73" s="366"/>
      <c r="F73" s="366"/>
      <c r="G73" s="366"/>
      <c r="H73" s="289"/>
      <c r="I73" s="290"/>
      <c r="J73" s="290"/>
      <c r="K73" s="290"/>
      <c r="L73" s="290"/>
      <c r="M73" s="290"/>
      <c r="N73" s="290"/>
      <c r="O73" s="289"/>
      <c r="P73" s="290"/>
      <c r="Q73" s="290"/>
      <c r="R73" s="290"/>
      <c r="S73" s="290"/>
      <c r="T73" s="290"/>
      <c r="U73" s="284"/>
      <c r="V73" s="290"/>
      <c r="W73" s="290"/>
      <c r="X73" s="290"/>
      <c r="Y73" s="290"/>
      <c r="Z73" s="290"/>
      <c r="AA73" s="290"/>
      <c r="AB73" s="290"/>
      <c r="AC73" s="289"/>
      <c r="AD73" s="290"/>
      <c r="AE73" s="290"/>
      <c r="AF73" s="290"/>
      <c r="AG73" s="290"/>
      <c r="AH73" s="290"/>
      <c r="AI73" s="284"/>
      <c r="AJ73" s="290"/>
      <c r="AK73" s="290"/>
      <c r="AL73" s="290"/>
      <c r="AM73" s="290"/>
      <c r="AN73" s="290"/>
      <c r="AO73" s="290"/>
      <c r="AP73" s="290"/>
      <c r="AQ73" s="289"/>
      <c r="AR73" s="290"/>
      <c r="AS73" s="290"/>
      <c r="AT73" s="290"/>
      <c r="AU73" s="290"/>
      <c r="AV73" s="290"/>
      <c r="AW73" s="284"/>
      <c r="AX73" s="290"/>
      <c r="AY73" s="290"/>
      <c r="AZ73" s="290"/>
      <c r="BA73" s="290"/>
      <c r="BB73" s="290"/>
      <c r="BC73" s="290"/>
      <c r="BD73" s="290"/>
      <c r="BE73" s="289"/>
      <c r="BF73" s="290"/>
      <c r="BG73" s="290"/>
      <c r="BH73" s="290"/>
      <c r="BI73" s="290"/>
      <c r="BJ73" s="290"/>
      <c r="BK73" s="284"/>
      <c r="BL73" s="290"/>
      <c r="BM73" s="290"/>
      <c r="BN73" s="290"/>
      <c r="BO73" s="290"/>
      <c r="BP73" s="290"/>
      <c r="BQ73" s="290"/>
      <c r="BR73" s="290"/>
      <c r="BS73" s="289"/>
      <c r="BT73" s="290"/>
      <c r="BU73" s="290"/>
      <c r="BV73" s="290"/>
      <c r="BW73" s="290"/>
      <c r="BX73" s="290"/>
      <c r="BY73" s="284"/>
      <c r="BZ73" s="290"/>
      <c r="CA73" s="290"/>
      <c r="CB73" s="290"/>
      <c r="CC73" s="290"/>
      <c r="CD73" s="290"/>
      <c r="CE73" s="290"/>
      <c r="CF73" s="290"/>
      <c r="CG73" s="289"/>
      <c r="CH73" s="290"/>
      <c r="CI73" s="290"/>
      <c r="CJ73" s="290"/>
      <c r="CK73" s="290"/>
      <c r="CL73" s="290"/>
      <c r="CM73" s="284"/>
      <c r="CN73" s="290"/>
      <c r="CO73" s="290"/>
      <c r="CP73" s="290"/>
      <c r="CQ73" s="290"/>
      <c r="CR73" s="290"/>
      <c r="CS73" s="284"/>
    </row>
    <row r="74" spans="1:97" ht="13.2" x14ac:dyDescent="0.25">
      <c r="A74" s="566" t="s">
        <v>246</v>
      </c>
      <c r="B74" s="328" t="s">
        <v>135</v>
      </c>
      <c r="C74" s="244" t="s">
        <v>4</v>
      </c>
      <c r="D74" s="245">
        <v>7</v>
      </c>
      <c r="E74" s="371">
        <f>'5. ORÇAMENTO SINAPE'!H73</f>
        <v>18.899100000000001</v>
      </c>
      <c r="F74" s="372"/>
      <c r="G74" s="294">
        <f>D74*(E74+F74)</f>
        <v>132.2937</v>
      </c>
      <c r="H74" s="1"/>
      <c r="O74" s="1"/>
      <c r="U74" s="2"/>
      <c r="AC74" s="1"/>
      <c r="AI74" s="2"/>
      <c r="AQ74" s="1"/>
      <c r="AW74" s="2"/>
      <c r="BE74" s="1"/>
      <c r="BK74" s="2"/>
      <c r="BS74" s="1"/>
      <c r="BY74" s="2"/>
      <c r="BZ74" s="417">
        <f>G74*1</f>
        <v>132.2937</v>
      </c>
      <c r="CA74" s="415"/>
      <c r="CB74" s="415"/>
      <c r="CC74" s="415"/>
      <c r="CD74" s="415"/>
      <c r="CE74" s="415"/>
      <c r="CF74" s="415"/>
      <c r="CG74" s="1"/>
      <c r="CM74" s="2"/>
      <c r="CS74" s="2"/>
    </row>
    <row r="75" spans="1:97" ht="13.2" x14ac:dyDescent="0.25">
      <c r="A75" s="283">
        <v>88484</v>
      </c>
      <c r="B75" s="333" t="s">
        <v>235</v>
      </c>
      <c r="C75" s="279" t="s">
        <v>4</v>
      </c>
      <c r="D75" s="278">
        <f>18.44*2.7</f>
        <v>49.788000000000004</v>
      </c>
      <c r="E75" s="395">
        <v>4.68</v>
      </c>
      <c r="F75" s="396"/>
      <c r="G75" s="297">
        <f>D75*(E75+F75)</f>
        <v>233.00784000000002</v>
      </c>
      <c r="H75" s="1"/>
      <c r="O75" s="1"/>
      <c r="U75" s="2"/>
      <c r="AC75" s="1"/>
      <c r="AI75" s="2"/>
      <c r="AQ75" s="1"/>
      <c r="AW75" s="2"/>
      <c r="BL75" s="428">
        <f>G75*1</f>
        <v>233.00784000000002</v>
      </c>
      <c r="BM75" s="432"/>
      <c r="BN75" s="432"/>
      <c r="BO75" s="432"/>
      <c r="BP75" s="432"/>
      <c r="BQ75" s="432"/>
      <c r="BR75" s="432"/>
      <c r="BS75" s="1"/>
      <c r="BY75" s="2"/>
      <c r="BZ75" s="282"/>
      <c r="CA75" s="285"/>
      <c r="CB75" s="285"/>
      <c r="CC75" s="285"/>
      <c r="CD75" s="285"/>
      <c r="CE75" s="285"/>
      <c r="CF75" s="285"/>
      <c r="CG75" s="1"/>
      <c r="CM75" s="2"/>
      <c r="CS75" s="2"/>
    </row>
    <row r="76" spans="1:97" ht="13.2" x14ac:dyDescent="0.25">
      <c r="A76" s="283" t="s">
        <v>149</v>
      </c>
      <c r="B76" s="333" t="s">
        <v>236</v>
      </c>
      <c r="C76" s="246" t="s">
        <v>4</v>
      </c>
      <c r="D76" s="278">
        <f>18.44*2.7</f>
        <v>49.788000000000004</v>
      </c>
      <c r="E76" s="395">
        <v>52.28</v>
      </c>
      <c r="F76" s="396"/>
      <c r="G76" s="297">
        <f>D76*(E76+F76)</f>
        <v>2602.9166400000004</v>
      </c>
      <c r="H76" s="1"/>
      <c r="O76" s="1"/>
      <c r="U76" s="2"/>
      <c r="AC76" s="1"/>
      <c r="AI76" s="2"/>
      <c r="AQ76" s="1"/>
      <c r="AW76" s="2"/>
      <c r="BE76" s="1"/>
      <c r="BK76" s="2"/>
      <c r="BL76" s="428">
        <f>G76*1</f>
        <v>2602.9166400000004</v>
      </c>
      <c r="BM76" s="432"/>
      <c r="BN76" s="432"/>
      <c r="BO76" s="432"/>
      <c r="BP76" s="432"/>
      <c r="BQ76" s="432"/>
      <c r="BR76" s="432"/>
      <c r="BS76" s="438"/>
      <c r="BT76" s="430"/>
      <c r="BU76" s="430"/>
      <c r="BV76" s="430"/>
      <c r="BW76" s="430"/>
      <c r="BX76" s="430"/>
      <c r="BY76" s="439"/>
      <c r="BZ76" s="429"/>
      <c r="CA76" s="430"/>
      <c r="CB76" s="430"/>
      <c r="CC76" s="430"/>
      <c r="CD76" s="430"/>
      <c r="CE76" s="430"/>
      <c r="CF76" s="430"/>
      <c r="CG76" s="438"/>
      <c r="CH76" s="430"/>
      <c r="CI76" s="430"/>
      <c r="CJ76" s="430"/>
      <c r="CK76" s="430"/>
      <c r="CL76" s="430"/>
      <c r="CM76" s="439"/>
      <c r="CS76" s="2"/>
    </row>
    <row r="77" spans="1:97" ht="13.2" x14ac:dyDescent="0.25">
      <c r="A77" s="283">
        <v>98689</v>
      </c>
      <c r="B77" s="340" t="s">
        <v>50</v>
      </c>
      <c r="C77" s="265" t="s">
        <v>0</v>
      </c>
      <c r="D77" s="266">
        <v>1</v>
      </c>
      <c r="E77" s="363">
        <f>'5. ORÇAMENTO SINAPE'!H76</f>
        <v>405.72060000000005</v>
      </c>
      <c r="F77" s="364"/>
      <c r="G77" s="301">
        <f>D77*(E77+F77)</f>
        <v>405.72060000000005</v>
      </c>
      <c r="H77" s="1"/>
      <c r="O77" s="1"/>
      <c r="U77" s="2"/>
      <c r="AC77" s="1"/>
      <c r="AI77" s="2"/>
      <c r="AQ77" s="1"/>
      <c r="AW77" s="2"/>
      <c r="BE77" s="1"/>
      <c r="BK77" s="2"/>
      <c r="BL77" s="450">
        <f>G77*1</f>
        <v>405.72060000000005</v>
      </c>
      <c r="BM77" s="451"/>
      <c r="BN77" s="451"/>
      <c r="BO77" s="451"/>
      <c r="BP77" s="451"/>
      <c r="BQ77" s="451"/>
      <c r="BR77" s="451"/>
      <c r="BS77" s="111"/>
      <c r="BY77" s="2"/>
      <c r="CG77" s="1"/>
      <c r="CM77" s="2"/>
      <c r="CS77" s="2"/>
    </row>
    <row r="78" spans="1:97" ht="13.2" x14ac:dyDescent="0.25">
      <c r="A78" s="283">
        <v>90446</v>
      </c>
      <c r="B78" s="337" t="s">
        <v>51</v>
      </c>
      <c r="C78" s="258" t="s">
        <v>0</v>
      </c>
      <c r="D78" s="259">
        <v>1</v>
      </c>
      <c r="E78" s="403">
        <f>'5. ORÇAMENTO SINAPE'!H77</f>
        <v>117.88905000000001</v>
      </c>
      <c r="F78" s="404"/>
      <c r="G78" s="295">
        <f>D78*(E78+F78)</f>
        <v>117.88905000000001</v>
      </c>
      <c r="H78" s="1"/>
      <c r="O78" s="1"/>
      <c r="U78" s="2"/>
      <c r="AC78" s="1"/>
      <c r="AI78" s="2"/>
      <c r="AQ78" s="1"/>
      <c r="AW78" s="2"/>
      <c r="BE78" s="444">
        <f>G78*1</f>
        <v>117.88905000000001</v>
      </c>
      <c r="BF78" s="427"/>
      <c r="BG78" s="427"/>
      <c r="BH78" s="427"/>
      <c r="BI78" s="427"/>
      <c r="BJ78" s="427"/>
      <c r="BK78" s="445"/>
      <c r="BS78" s="1"/>
      <c r="BY78" s="2"/>
      <c r="CG78" s="1"/>
      <c r="CM78" s="2"/>
      <c r="CS78" s="2"/>
    </row>
    <row r="79" spans="1:97" ht="13.2" x14ac:dyDescent="0.25">
      <c r="B79" s="365" t="s">
        <v>128</v>
      </c>
      <c r="C79" s="366"/>
      <c r="D79" s="366"/>
      <c r="E79" s="366"/>
      <c r="F79" s="366"/>
      <c r="G79" s="366"/>
      <c r="H79" s="289"/>
      <c r="I79" s="290"/>
      <c r="J79" s="290"/>
      <c r="K79" s="290"/>
      <c r="L79" s="290"/>
      <c r="M79" s="290"/>
      <c r="N79" s="290"/>
      <c r="O79" s="289"/>
      <c r="P79" s="290"/>
      <c r="Q79" s="290"/>
      <c r="R79" s="290"/>
      <c r="S79" s="290"/>
      <c r="T79" s="290"/>
      <c r="U79" s="284"/>
      <c r="V79" s="290"/>
      <c r="W79" s="290"/>
      <c r="X79" s="290"/>
      <c r="Y79" s="290"/>
      <c r="Z79" s="290"/>
      <c r="AA79" s="290"/>
      <c r="AB79" s="290"/>
      <c r="AC79" s="289"/>
      <c r="AD79" s="290"/>
      <c r="AE79" s="290"/>
      <c r="AF79" s="290"/>
      <c r="AG79" s="290"/>
      <c r="AH79" s="290"/>
      <c r="AI79" s="284"/>
      <c r="AJ79" s="290"/>
      <c r="AK79" s="290"/>
      <c r="AL79" s="290"/>
      <c r="AM79" s="290"/>
      <c r="AN79" s="290"/>
      <c r="AO79" s="290"/>
      <c r="AP79" s="290"/>
      <c r="AQ79" s="289"/>
      <c r="AR79" s="290"/>
      <c r="AS79" s="290"/>
      <c r="AT79" s="290"/>
      <c r="AU79" s="290"/>
      <c r="AV79" s="290"/>
      <c r="AW79" s="284"/>
      <c r="AX79" s="290"/>
      <c r="AY79" s="290"/>
      <c r="AZ79" s="290"/>
      <c r="BA79" s="290"/>
      <c r="BB79" s="290"/>
      <c r="BC79" s="290"/>
      <c r="BD79" s="290"/>
      <c r="BE79" s="289"/>
      <c r="BF79" s="290"/>
      <c r="BG79" s="290"/>
      <c r="BH79" s="290"/>
      <c r="BI79" s="290"/>
      <c r="BJ79" s="290"/>
      <c r="BK79" s="284"/>
      <c r="BL79" s="290"/>
      <c r="BM79" s="290"/>
      <c r="BN79" s="290"/>
      <c r="BO79" s="290"/>
      <c r="BP79" s="290"/>
      <c r="BQ79" s="290"/>
      <c r="BR79" s="290"/>
      <c r="BS79" s="289"/>
      <c r="BT79" s="290"/>
      <c r="BU79" s="290"/>
      <c r="BV79" s="290"/>
      <c r="BW79" s="290"/>
      <c r="BX79" s="290"/>
      <c r="BY79" s="284"/>
      <c r="BZ79" s="290"/>
      <c r="CA79" s="290"/>
      <c r="CB79" s="290"/>
      <c r="CC79" s="290"/>
      <c r="CD79" s="290"/>
      <c r="CE79" s="290"/>
      <c r="CF79" s="290"/>
      <c r="CG79" s="289"/>
      <c r="CH79" s="290"/>
      <c r="CI79" s="290"/>
      <c r="CJ79" s="290"/>
      <c r="CK79" s="290"/>
      <c r="CL79" s="290"/>
      <c r="CM79" s="284"/>
      <c r="CN79" s="290"/>
      <c r="CO79" s="290"/>
      <c r="CP79" s="290"/>
      <c r="CQ79" s="290"/>
      <c r="CR79" s="290"/>
      <c r="CS79" s="284"/>
    </row>
    <row r="80" spans="1:97" ht="13.2" x14ac:dyDescent="0.25">
      <c r="A80" s="283">
        <v>86882</v>
      </c>
      <c r="B80" s="344" t="s">
        <v>125</v>
      </c>
      <c r="C80" s="265" t="s">
        <v>0</v>
      </c>
      <c r="D80" s="266">
        <v>19</v>
      </c>
      <c r="E80" s="363">
        <f>'5. ORÇAMENTO SINAPE'!H79</f>
        <v>25.634550000000001</v>
      </c>
      <c r="F80" s="364"/>
      <c r="G80" s="301">
        <f t="shared" ref="G80:G82" si="0">D80*(E80+F80)</f>
        <v>487.05645000000004</v>
      </c>
      <c r="H80" s="1"/>
      <c r="O80" s="1"/>
      <c r="U80" s="2"/>
      <c r="AC80" s="1"/>
      <c r="AI80" s="2"/>
      <c r="AJ80" s="450">
        <f>G80*0.5</f>
        <v>243.52822500000002</v>
      </c>
      <c r="AK80" s="451"/>
      <c r="AL80" s="451"/>
      <c r="AM80" s="451"/>
      <c r="AN80" s="451"/>
      <c r="AO80" s="451"/>
      <c r="AP80" s="451"/>
      <c r="AQ80" s="452">
        <f>G80*0.5</f>
        <v>243.52822500000002</v>
      </c>
      <c r="AR80" s="451"/>
      <c r="AS80" s="451"/>
      <c r="AT80" s="451"/>
      <c r="AU80" s="451"/>
      <c r="AV80" s="451"/>
      <c r="AW80" s="453"/>
      <c r="BE80" s="1"/>
      <c r="BK80" s="2"/>
      <c r="BS80" s="1"/>
      <c r="BY80" s="2"/>
      <c r="CG80" s="1"/>
      <c r="CM80" s="2"/>
      <c r="CS80" s="2"/>
    </row>
    <row r="81" spans="1:98" ht="13.2" x14ac:dyDescent="0.25">
      <c r="A81" s="283">
        <v>89495</v>
      </c>
      <c r="B81" s="344" t="s">
        <v>124</v>
      </c>
      <c r="C81" s="265" t="s">
        <v>0</v>
      </c>
      <c r="D81" s="266">
        <v>15</v>
      </c>
      <c r="E81" s="363">
        <f>'5. ORÇAMENTO SINAPE'!H80</f>
        <v>22.173449999999999</v>
      </c>
      <c r="F81" s="364"/>
      <c r="G81" s="301">
        <f t="shared" si="0"/>
        <v>332.60174999999998</v>
      </c>
      <c r="H81" s="1"/>
      <c r="O81" s="1"/>
      <c r="U81" s="2"/>
      <c r="AC81" s="1"/>
      <c r="AI81" s="2"/>
      <c r="AJ81" s="450">
        <f t="shared" ref="AJ81:AJ83" si="1">G81*0.5</f>
        <v>166.30087499999999</v>
      </c>
      <c r="AK81" s="451"/>
      <c r="AL81" s="451"/>
      <c r="AM81" s="451"/>
      <c r="AN81" s="451"/>
      <c r="AO81" s="451"/>
      <c r="AP81" s="451"/>
      <c r="AQ81" s="452">
        <f t="shared" ref="AQ81:AQ83" si="2">G81*0.5</f>
        <v>166.30087499999999</v>
      </c>
      <c r="AR81" s="451"/>
      <c r="AS81" s="451"/>
      <c r="AT81" s="451"/>
      <c r="AU81" s="451"/>
      <c r="AV81" s="451"/>
      <c r="AW81" s="453"/>
      <c r="BE81" s="1"/>
      <c r="BK81" s="2"/>
      <c r="BS81" s="1"/>
      <c r="BY81" s="2"/>
      <c r="CG81" s="1"/>
      <c r="CM81" s="2"/>
      <c r="CS81" s="2"/>
    </row>
    <row r="82" spans="1:98" ht="13.2" x14ac:dyDescent="0.25">
      <c r="A82" s="566" t="s">
        <v>246</v>
      </c>
      <c r="B82" s="344" t="s">
        <v>140</v>
      </c>
      <c r="C82" s="265" t="s">
        <v>0</v>
      </c>
      <c r="D82" s="266">
        <v>18</v>
      </c>
      <c r="E82" s="363">
        <f>'5. ORÇAMENTO SINAPE'!H81</f>
        <v>373.50000000000006</v>
      </c>
      <c r="F82" s="364"/>
      <c r="G82" s="301">
        <f t="shared" si="0"/>
        <v>6723.0000000000009</v>
      </c>
      <c r="H82" s="1"/>
      <c r="O82" s="1"/>
      <c r="U82" s="2"/>
      <c r="AC82" s="1"/>
      <c r="AI82" s="2"/>
      <c r="AJ82" s="450">
        <f t="shared" si="1"/>
        <v>3361.5000000000005</v>
      </c>
      <c r="AK82" s="451"/>
      <c r="AL82" s="451"/>
      <c r="AM82" s="451"/>
      <c r="AN82" s="451"/>
      <c r="AO82" s="451"/>
      <c r="AP82" s="451"/>
      <c r="AQ82" s="452">
        <f t="shared" si="2"/>
        <v>3361.5000000000005</v>
      </c>
      <c r="AR82" s="451"/>
      <c r="AS82" s="451"/>
      <c r="AT82" s="451"/>
      <c r="AU82" s="451"/>
      <c r="AV82" s="451"/>
      <c r="AW82" s="453"/>
      <c r="BE82" s="1"/>
      <c r="BK82" s="2"/>
      <c r="BS82" s="1"/>
      <c r="BY82" s="2"/>
      <c r="CG82" s="1"/>
      <c r="CM82" s="2"/>
      <c r="CS82" s="2"/>
    </row>
    <row r="83" spans="1:98" ht="13.2" x14ac:dyDescent="0.25">
      <c r="A83" s="566" t="s">
        <v>246</v>
      </c>
      <c r="B83" s="340" t="s">
        <v>32</v>
      </c>
      <c r="C83" s="265" t="s">
        <v>0</v>
      </c>
      <c r="D83" s="266">
        <v>1</v>
      </c>
      <c r="E83" s="363">
        <f>'5. ORÇAMENTO SINAPE'!H82</f>
        <v>373.50000000000006</v>
      </c>
      <c r="F83" s="364"/>
      <c r="G83" s="301">
        <f>D83*(E83+F83)</f>
        <v>373.50000000000006</v>
      </c>
      <c r="H83" s="1"/>
      <c r="O83" s="1"/>
      <c r="U83" s="2"/>
      <c r="AC83" s="1"/>
      <c r="AI83" s="2"/>
      <c r="AJ83" s="450">
        <f t="shared" si="1"/>
        <v>186.75000000000003</v>
      </c>
      <c r="AK83" s="451"/>
      <c r="AL83" s="451"/>
      <c r="AM83" s="451"/>
      <c r="AN83" s="451"/>
      <c r="AO83" s="451"/>
      <c r="AP83" s="451"/>
      <c r="AQ83" s="452">
        <f t="shared" si="2"/>
        <v>186.75000000000003</v>
      </c>
      <c r="AR83" s="451"/>
      <c r="AS83" s="451"/>
      <c r="AT83" s="451"/>
      <c r="AU83" s="451"/>
      <c r="AV83" s="451"/>
      <c r="AW83" s="453"/>
      <c r="BE83" s="1"/>
      <c r="BK83" s="2"/>
      <c r="BL83" s="109"/>
      <c r="BS83" s="111"/>
      <c r="BY83" s="2"/>
      <c r="CG83" s="1"/>
      <c r="CM83" s="2"/>
      <c r="CS83" s="2"/>
    </row>
    <row r="84" spans="1:98" ht="13.2" x14ac:dyDescent="0.25">
      <c r="B84" s="365" t="s">
        <v>129</v>
      </c>
      <c r="C84" s="366"/>
      <c r="D84" s="366"/>
      <c r="E84" s="366"/>
      <c r="F84" s="366"/>
      <c r="G84" s="366"/>
      <c r="H84" s="289"/>
      <c r="I84" s="290"/>
      <c r="J84" s="290"/>
      <c r="K84" s="290"/>
      <c r="L84" s="290"/>
      <c r="M84" s="290"/>
      <c r="N84" s="290"/>
      <c r="O84" s="289"/>
      <c r="P84" s="290"/>
      <c r="Q84" s="290"/>
      <c r="R84" s="290"/>
      <c r="S84" s="290"/>
      <c r="T84" s="290"/>
      <c r="U84" s="284"/>
      <c r="V84" s="290"/>
      <c r="W84" s="290"/>
      <c r="X84" s="290"/>
      <c r="Y84" s="290"/>
      <c r="Z84" s="290"/>
      <c r="AA84" s="290"/>
      <c r="AB84" s="290"/>
      <c r="AC84" s="289"/>
      <c r="AD84" s="290"/>
      <c r="AE84" s="290"/>
      <c r="AF84" s="290"/>
      <c r="AG84" s="290"/>
      <c r="AH84" s="290"/>
      <c r="AI84" s="284"/>
      <c r="AJ84" s="290"/>
      <c r="AK84" s="290"/>
      <c r="AL84" s="290"/>
      <c r="AM84" s="290"/>
      <c r="AN84" s="290"/>
      <c r="AO84" s="290"/>
      <c r="AP84" s="290"/>
      <c r="AQ84" s="289"/>
      <c r="AR84" s="290"/>
      <c r="AS84" s="290"/>
      <c r="AT84" s="290"/>
      <c r="AU84" s="290"/>
      <c r="AV84" s="290"/>
      <c r="AW84" s="284"/>
      <c r="AX84" s="290"/>
      <c r="AY84" s="290"/>
      <c r="AZ84" s="290"/>
      <c r="BA84" s="290"/>
      <c r="BB84" s="290"/>
      <c r="BC84" s="290"/>
      <c r="BD84" s="290"/>
      <c r="BE84" s="289"/>
      <c r="BF84" s="290"/>
      <c r="BG84" s="290"/>
      <c r="BH84" s="290"/>
      <c r="BI84" s="290"/>
      <c r="BJ84" s="290"/>
      <c r="BK84" s="284"/>
      <c r="BL84" s="290"/>
      <c r="BM84" s="290"/>
      <c r="BN84" s="290"/>
      <c r="BO84" s="290"/>
      <c r="BP84" s="290"/>
      <c r="BQ84" s="290"/>
      <c r="BR84" s="290"/>
      <c r="BS84" s="289"/>
      <c r="BT84" s="290"/>
      <c r="BU84" s="290"/>
      <c r="BV84" s="290"/>
      <c r="BW84" s="290"/>
      <c r="BX84" s="290"/>
      <c r="BY84" s="284"/>
      <c r="BZ84" s="290"/>
      <c r="CA84" s="290"/>
      <c r="CB84" s="290"/>
      <c r="CC84" s="290"/>
      <c r="CD84" s="290"/>
      <c r="CE84" s="290"/>
      <c r="CF84" s="290"/>
      <c r="CG84" s="289"/>
      <c r="CH84" s="290"/>
      <c r="CI84" s="290"/>
      <c r="CJ84" s="290"/>
      <c r="CK84" s="290"/>
      <c r="CL84" s="290"/>
      <c r="CM84" s="284"/>
      <c r="CN84" s="290"/>
      <c r="CO84" s="290"/>
      <c r="CP84" s="290"/>
      <c r="CQ84" s="290"/>
      <c r="CR84" s="290"/>
      <c r="CS84" s="284"/>
    </row>
    <row r="85" spans="1:98" ht="13.2" x14ac:dyDescent="0.25">
      <c r="A85" s="283" t="s">
        <v>248</v>
      </c>
      <c r="B85" s="345" t="s">
        <v>44</v>
      </c>
      <c r="C85" s="272" t="s">
        <v>4</v>
      </c>
      <c r="D85" s="273">
        <v>122.4</v>
      </c>
      <c r="E85" s="406">
        <f>'5. ORÇAMENTO SINAPE'!H84</f>
        <v>543.37775999999997</v>
      </c>
      <c r="F85" s="406"/>
      <c r="G85" s="299">
        <f>D85*(E85+F85)</f>
        <v>66509.437823999993</v>
      </c>
      <c r="H85" s="1"/>
      <c r="O85" s="1"/>
      <c r="U85" s="2"/>
      <c r="AC85" s="1"/>
      <c r="AI85" s="2"/>
      <c r="AQ85" s="1"/>
      <c r="AW85" s="2"/>
      <c r="BE85" s="1"/>
      <c r="BK85" s="2"/>
      <c r="BS85" s="111"/>
      <c r="BY85" s="2"/>
      <c r="BZ85" s="434">
        <f>G85*0.5</f>
        <v>33254.718911999997</v>
      </c>
      <c r="CA85" s="434"/>
      <c r="CB85" s="434"/>
      <c r="CC85" s="434"/>
      <c r="CD85" s="434"/>
      <c r="CE85" s="434"/>
      <c r="CF85" s="434"/>
      <c r="CG85" s="436">
        <f>G85*0.5</f>
        <v>33254.718911999997</v>
      </c>
      <c r="CH85" s="434"/>
      <c r="CI85" s="434"/>
      <c r="CJ85" s="434"/>
      <c r="CK85" s="434"/>
      <c r="CL85" s="434"/>
      <c r="CM85" s="463"/>
      <c r="CN85" s="109"/>
      <c r="CS85" s="2"/>
    </row>
    <row r="86" spans="1:98" ht="13.2" x14ac:dyDescent="0.25">
      <c r="A86" s="566" t="s">
        <v>246</v>
      </c>
      <c r="B86" s="346" t="s">
        <v>139</v>
      </c>
      <c r="C86" s="252" t="s">
        <v>0</v>
      </c>
      <c r="D86" s="253">
        <v>11</v>
      </c>
      <c r="E86" s="409">
        <f>'5. ORÇAMENTO SINAPE'!H85</f>
        <v>80.912550000000024</v>
      </c>
      <c r="F86" s="409"/>
      <c r="G86" s="294">
        <f>D86*(E86+F86)</f>
        <v>890.03805000000023</v>
      </c>
      <c r="H86" s="1"/>
      <c r="O86" s="111"/>
      <c r="P86" s="109"/>
      <c r="Q86" s="109"/>
      <c r="R86" s="109"/>
      <c r="S86" s="109"/>
      <c r="T86" s="109"/>
      <c r="U86" s="112"/>
      <c r="V86" s="109"/>
      <c r="W86" s="109"/>
      <c r="X86" s="109"/>
      <c r="Y86" s="109"/>
      <c r="Z86" s="109"/>
      <c r="AA86" s="109"/>
      <c r="AB86" s="109"/>
      <c r="AC86" s="111"/>
      <c r="AD86" s="109"/>
      <c r="AE86" s="109"/>
      <c r="AF86" s="109"/>
      <c r="AG86" s="109"/>
      <c r="AH86" s="109"/>
      <c r="AI86" s="112"/>
      <c r="AJ86" s="109"/>
      <c r="AK86" s="109"/>
      <c r="AL86" s="109"/>
      <c r="AM86" s="109"/>
      <c r="AN86" s="109"/>
      <c r="AO86" s="109"/>
      <c r="AP86" s="109"/>
      <c r="AQ86" s="111"/>
      <c r="AR86" s="109"/>
      <c r="AS86" s="109"/>
      <c r="AT86" s="109"/>
      <c r="AU86" s="109"/>
      <c r="AV86" s="109"/>
      <c r="AW86" s="112"/>
      <c r="AX86" s="109"/>
      <c r="AY86" s="109"/>
      <c r="AZ86" s="109"/>
      <c r="BA86" s="109"/>
      <c r="BB86" s="109"/>
      <c r="BC86" s="109"/>
      <c r="BD86" s="109"/>
      <c r="BE86" s="414">
        <f>G86*1</f>
        <v>890.03805000000023</v>
      </c>
      <c r="BF86" s="417"/>
      <c r="BG86" s="417"/>
      <c r="BH86" s="417"/>
      <c r="BI86" s="417"/>
      <c r="BJ86" s="417"/>
      <c r="BK86" s="464"/>
      <c r="BL86" s="109"/>
      <c r="BM86" s="109"/>
      <c r="BN86" s="109"/>
      <c r="BO86" s="109"/>
      <c r="BP86" s="109"/>
      <c r="BQ86" s="109"/>
      <c r="BR86" s="109"/>
      <c r="BS86" s="111"/>
      <c r="BT86" s="109"/>
      <c r="BU86" s="109"/>
      <c r="BV86" s="109"/>
      <c r="BW86" s="109"/>
      <c r="BX86" s="109"/>
      <c r="BY86" s="112"/>
      <c r="BZ86" s="109"/>
      <c r="CA86" s="109"/>
      <c r="CB86" s="109"/>
      <c r="CC86" s="109"/>
      <c r="CD86" s="109"/>
      <c r="CE86" s="109"/>
      <c r="CF86" s="109"/>
      <c r="CG86" s="111"/>
      <c r="CH86" s="109"/>
      <c r="CI86" s="109"/>
      <c r="CJ86" s="109"/>
      <c r="CK86" s="109"/>
      <c r="CL86" s="109"/>
      <c r="CM86" s="112"/>
      <c r="CN86" s="109"/>
      <c r="CO86" s="109"/>
      <c r="CP86" s="109"/>
      <c r="CQ86" s="109"/>
      <c r="CR86" s="109"/>
      <c r="CS86" s="112"/>
    </row>
    <row r="87" spans="1:98" ht="13.2" x14ac:dyDescent="0.25">
      <c r="B87" s="365" t="s">
        <v>130</v>
      </c>
      <c r="C87" s="366"/>
      <c r="D87" s="366"/>
      <c r="E87" s="366"/>
      <c r="F87" s="366"/>
      <c r="G87" s="366"/>
      <c r="H87" s="289"/>
      <c r="I87" s="290"/>
      <c r="J87" s="290"/>
      <c r="K87" s="290"/>
      <c r="L87" s="290"/>
      <c r="M87" s="290"/>
      <c r="N87" s="290"/>
      <c r="O87" s="289"/>
      <c r="P87" s="290"/>
      <c r="Q87" s="290"/>
      <c r="R87" s="290"/>
      <c r="S87" s="290"/>
      <c r="T87" s="290"/>
      <c r="U87" s="284"/>
      <c r="V87" s="290"/>
      <c r="W87" s="290"/>
      <c r="X87" s="290"/>
      <c r="Y87" s="290"/>
      <c r="Z87" s="290"/>
      <c r="AA87" s="290"/>
      <c r="AB87" s="290"/>
      <c r="AC87" s="289"/>
      <c r="AD87" s="290"/>
      <c r="AE87" s="290"/>
      <c r="AF87" s="290"/>
      <c r="AG87" s="290"/>
      <c r="AH87" s="290"/>
      <c r="AI87" s="284"/>
      <c r="AJ87" s="290"/>
      <c r="AK87" s="290"/>
      <c r="AL87" s="290"/>
      <c r="AM87" s="290"/>
      <c r="AN87" s="290"/>
      <c r="AO87" s="290"/>
      <c r="AP87" s="290"/>
      <c r="AQ87" s="289"/>
      <c r="AR87" s="290"/>
      <c r="AS87" s="290"/>
      <c r="AT87" s="290"/>
      <c r="AU87" s="290"/>
      <c r="AV87" s="290"/>
      <c r="AW87" s="284"/>
      <c r="AX87" s="290"/>
      <c r="AY87" s="290"/>
      <c r="AZ87" s="290"/>
      <c r="BA87" s="290"/>
      <c r="BB87" s="290"/>
      <c r="BC87" s="290"/>
      <c r="BD87" s="290"/>
      <c r="BE87" s="289"/>
      <c r="BF87" s="290"/>
      <c r="BG87" s="290"/>
      <c r="BH87" s="290"/>
      <c r="BI87" s="290"/>
      <c r="BJ87" s="290"/>
      <c r="BK87" s="284"/>
      <c r="BL87" s="290"/>
      <c r="BM87" s="290"/>
      <c r="BN87" s="290"/>
      <c r="BO87" s="290"/>
      <c r="BP87" s="290"/>
      <c r="BQ87" s="290"/>
      <c r="BR87" s="290"/>
      <c r="BS87" s="289"/>
      <c r="BT87" s="290"/>
      <c r="BU87" s="290"/>
      <c r="BV87" s="290"/>
      <c r="BW87" s="290"/>
      <c r="BX87" s="290"/>
      <c r="BY87" s="284"/>
      <c r="BZ87" s="290"/>
      <c r="CA87" s="290"/>
      <c r="CB87" s="290"/>
      <c r="CC87" s="290"/>
      <c r="CD87" s="290"/>
      <c r="CE87" s="290"/>
      <c r="CF87" s="290"/>
      <c r="CG87" s="289"/>
      <c r="CH87" s="290"/>
      <c r="CI87" s="290"/>
      <c r="CJ87" s="290"/>
      <c r="CK87" s="290"/>
      <c r="CL87" s="290"/>
      <c r="CM87" s="284"/>
      <c r="CN87" s="290"/>
      <c r="CO87" s="290"/>
      <c r="CP87" s="290"/>
      <c r="CQ87" s="290"/>
      <c r="CR87" s="290"/>
      <c r="CS87" s="284"/>
    </row>
    <row r="88" spans="1:98" ht="13.2" x14ac:dyDescent="0.25">
      <c r="A88" s="283">
        <v>100699</v>
      </c>
      <c r="B88" s="334" t="s">
        <v>22</v>
      </c>
      <c r="C88" s="254" t="s">
        <v>0</v>
      </c>
      <c r="D88" s="255">
        <v>61</v>
      </c>
      <c r="E88" s="397">
        <f>'5. ORÇAMENTO SINAPE'!H87</f>
        <v>132.75435000000002</v>
      </c>
      <c r="F88" s="398"/>
      <c r="G88" s="298">
        <f>D88*(E88+F88)</f>
        <v>8098.0153500000006</v>
      </c>
      <c r="H88" s="1"/>
      <c r="O88" s="1"/>
      <c r="U88" s="2"/>
      <c r="AC88" s="1"/>
      <c r="AI88" s="2"/>
      <c r="AQ88" s="1"/>
      <c r="AW88" s="2"/>
      <c r="AX88" s="109"/>
      <c r="BE88" s="111"/>
      <c r="BK88" s="2"/>
      <c r="BL88" s="109"/>
      <c r="BS88" s="442">
        <f>G88*0.5</f>
        <v>4049.0076750000003</v>
      </c>
      <c r="BT88" s="440"/>
      <c r="BU88" s="440"/>
      <c r="BV88" s="440"/>
      <c r="BW88" s="440"/>
      <c r="BX88" s="440"/>
      <c r="BY88" s="465"/>
      <c r="BZ88" s="440">
        <f>G88*0.5</f>
        <v>4049.0076750000003</v>
      </c>
      <c r="CA88" s="441"/>
      <c r="CB88" s="441"/>
      <c r="CC88" s="441"/>
      <c r="CD88" s="441"/>
      <c r="CE88" s="441"/>
      <c r="CF88" s="441"/>
      <c r="CG88" s="1"/>
      <c r="CM88" s="2"/>
      <c r="CS88" s="2"/>
    </row>
    <row r="89" spans="1:98" ht="13.2" x14ac:dyDescent="0.25">
      <c r="A89" s="283">
        <v>100675</v>
      </c>
      <c r="B89" s="339" t="s">
        <v>227</v>
      </c>
      <c r="C89" s="254" t="s">
        <v>0</v>
      </c>
      <c r="D89" s="255">
        <v>1</v>
      </c>
      <c r="E89" s="397">
        <f>E61</f>
        <v>1113.4657500000001</v>
      </c>
      <c r="F89" s="398"/>
      <c r="G89" s="298">
        <f>D89*(E89+F89)</f>
        <v>1113.4657500000001</v>
      </c>
      <c r="H89" s="1"/>
      <c r="O89" s="1"/>
      <c r="U89" s="2"/>
      <c r="AC89" s="1"/>
      <c r="AI89" s="2"/>
      <c r="AQ89" s="1"/>
      <c r="AW89" s="2"/>
      <c r="AX89" s="109"/>
      <c r="BE89" s="111"/>
      <c r="BK89" s="2"/>
      <c r="BL89" s="109"/>
      <c r="BS89" s="442">
        <f>G89*0.5</f>
        <v>556.73287500000004</v>
      </c>
      <c r="BT89" s="440"/>
      <c r="BU89" s="440"/>
      <c r="BV89" s="440"/>
      <c r="BW89" s="440"/>
      <c r="BX89" s="440"/>
      <c r="BY89" s="465"/>
      <c r="BZ89" s="440">
        <f>G89*0.5</f>
        <v>556.73287500000004</v>
      </c>
      <c r="CA89" s="441"/>
      <c r="CB89" s="441"/>
      <c r="CC89" s="441"/>
      <c r="CD89" s="441"/>
      <c r="CE89" s="441"/>
      <c r="CF89" s="441"/>
      <c r="CG89" s="1"/>
      <c r="CM89" s="2"/>
      <c r="CS89" s="2"/>
    </row>
    <row r="90" spans="1:98" ht="13.2" x14ac:dyDescent="0.25">
      <c r="A90" s="283">
        <v>91306</v>
      </c>
      <c r="B90" s="347" t="s">
        <v>243</v>
      </c>
      <c r="C90" s="254" t="s">
        <v>0</v>
      </c>
      <c r="D90" s="255">
        <f>1+7+14+16+12+12</f>
        <v>62</v>
      </c>
      <c r="E90" s="397">
        <f>'5. ORÇAMENTO SINAPE'!H89</f>
        <v>201.81450000000001</v>
      </c>
      <c r="F90" s="398"/>
      <c r="G90" s="298">
        <f>D90*(E90+F90)</f>
        <v>12512.499</v>
      </c>
      <c r="H90" s="1"/>
      <c r="O90" s="1"/>
      <c r="U90" s="2"/>
      <c r="AC90" s="1"/>
      <c r="AI90" s="2"/>
      <c r="AQ90" s="1"/>
      <c r="AW90" s="2"/>
      <c r="BE90" s="1"/>
      <c r="BK90" s="2"/>
      <c r="BS90" s="442">
        <f>G90*0.5</f>
        <v>6256.2494999999999</v>
      </c>
      <c r="BT90" s="440"/>
      <c r="BU90" s="440"/>
      <c r="BV90" s="440"/>
      <c r="BW90" s="440"/>
      <c r="BX90" s="440"/>
      <c r="BY90" s="465"/>
      <c r="BZ90" s="440">
        <f>G90*0.5</f>
        <v>6256.2494999999999</v>
      </c>
      <c r="CA90" s="441"/>
      <c r="CB90" s="441"/>
      <c r="CC90" s="441"/>
      <c r="CD90" s="441"/>
      <c r="CE90" s="441"/>
      <c r="CF90" s="441"/>
      <c r="CG90" s="1"/>
      <c r="CM90" s="2"/>
      <c r="CS90" s="2"/>
    </row>
    <row r="91" spans="1:98" ht="13.2" x14ac:dyDescent="0.25">
      <c r="B91" s="365" t="s">
        <v>131</v>
      </c>
      <c r="C91" s="366"/>
      <c r="D91" s="366"/>
      <c r="E91" s="366"/>
      <c r="F91" s="366"/>
      <c r="G91" s="366"/>
      <c r="H91" s="289"/>
      <c r="I91" s="290"/>
      <c r="J91" s="290"/>
      <c r="K91" s="290"/>
      <c r="L91" s="290"/>
      <c r="M91" s="290"/>
      <c r="N91" s="290"/>
      <c r="O91" s="289"/>
      <c r="P91" s="290"/>
      <c r="Q91" s="290"/>
      <c r="R91" s="290"/>
      <c r="S91" s="290"/>
      <c r="T91" s="290"/>
      <c r="U91" s="284"/>
      <c r="V91" s="290"/>
      <c r="W91" s="290"/>
      <c r="X91" s="290"/>
      <c r="Y91" s="290"/>
      <c r="Z91" s="290"/>
      <c r="AA91" s="290"/>
      <c r="AB91" s="290"/>
      <c r="AC91" s="289"/>
      <c r="AD91" s="290"/>
      <c r="AE91" s="290"/>
      <c r="AF91" s="290"/>
      <c r="AG91" s="290"/>
      <c r="AH91" s="290"/>
      <c r="AI91" s="284"/>
      <c r="AJ91" s="290"/>
      <c r="AK91" s="290"/>
      <c r="AL91" s="290"/>
      <c r="AM91" s="290"/>
      <c r="AN91" s="290"/>
      <c r="AO91" s="290"/>
      <c r="AP91" s="290"/>
      <c r="AQ91" s="289"/>
      <c r="AR91" s="290"/>
      <c r="AS91" s="290"/>
      <c r="AT91" s="290"/>
      <c r="AU91" s="290"/>
      <c r="AV91" s="290"/>
      <c r="AW91" s="284"/>
      <c r="AX91" s="290"/>
      <c r="AY91" s="290"/>
      <c r="AZ91" s="290"/>
      <c r="BA91" s="290"/>
      <c r="BB91" s="290"/>
      <c r="BC91" s="290"/>
      <c r="BD91" s="290"/>
      <c r="BE91" s="289"/>
      <c r="BF91" s="290"/>
      <c r="BG91" s="290"/>
      <c r="BH91" s="290"/>
      <c r="BI91" s="290"/>
      <c r="BJ91" s="290"/>
      <c r="BK91" s="284"/>
      <c r="BL91" s="290"/>
      <c r="BM91" s="290"/>
      <c r="BN91" s="290"/>
      <c r="BO91" s="290"/>
      <c r="BP91" s="290"/>
      <c r="BQ91" s="290"/>
      <c r="BR91" s="290"/>
      <c r="BS91" s="289"/>
      <c r="BT91" s="290"/>
      <c r="BU91" s="290"/>
      <c r="BV91" s="290"/>
      <c r="BW91" s="290"/>
      <c r="BX91" s="290"/>
      <c r="BY91" s="284"/>
      <c r="BZ91" s="290"/>
      <c r="CA91" s="290"/>
      <c r="CB91" s="290"/>
      <c r="CC91" s="290"/>
      <c r="CD91" s="290"/>
      <c r="CE91" s="290"/>
      <c r="CF91" s="290"/>
      <c r="CG91" s="289"/>
      <c r="CH91" s="290"/>
      <c r="CI91" s="290"/>
      <c r="CJ91" s="290"/>
      <c r="CK91" s="290"/>
      <c r="CL91" s="290"/>
      <c r="CM91" s="284"/>
      <c r="CN91" s="290"/>
      <c r="CO91" s="290"/>
      <c r="CP91" s="290"/>
      <c r="CQ91" s="290"/>
      <c r="CR91" s="290"/>
      <c r="CS91" s="284"/>
    </row>
    <row r="92" spans="1:98" s="243" customFormat="1" ht="13.2" x14ac:dyDescent="0.25">
      <c r="A92" s="283" t="s">
        <v>150</v>
      </c>
      <c r="B92" s="348" t="s">
        <v>138</v>
      </c>
      <c r="C92" s="276" t="s">
        <v>4</v>
      </c>
      <c r="D92" s="275">
        <v>252.42</v>
      </c>
      <c r="E92" s="412">
        <f>'5. ORÇAMENTO SINAPE'!H91</f>
        <v>68.126400000000004</v>
      </c>
      <c r="F92" s="413"/>
      <c r="G92" s="110">
        <f>D92*E92</f>
        <v>17196.465887999999</v>
      </c>
      <c r="H92" s="291"/>
      <c r="O92" s="291"/>
      <c r="U92" s="292"/>
      <c r="AC92" s="469">
        <f>G92*1/3</f>
        <v>5732.1552959999999</v>
      </c>
      <c r="AD92" s="470"/>
      <c r="AE92" s="470"/>
      <c r="AF92" s="470"/>
      <c r="AG92" s="470"/>
      <c r="AH92" s="470"/>
      <c r="AI92" s="471"/>
      <c r="AJ92" s="470">
        <f>G92*1/3</f>
        <v>5732.1552959999999</v>
      </c>
      <c r="AK92" s="470"/>
      <c r="AL92" s="470"/>
      <c r="AM92" s="470"/>
      <c r="AN92" s="470"/>
      <c r="AO92" s="470"/>
      <c r="AP92" s="470"/>
      <c r="AQ92" s="469">
        <f>G92*1/3</f>
        <v>5732.1552959999999</v>
      </c>
      <c r="AR92" s="470"/>
      <c r="AS92" s="470"/>
      <c r="AT92" s="470"/>
      <c r="AU92" s="470"/>
      <c r="AV92" s="470"/>
      <c r="AW92" s="471"/>
      <c r="BE92" s="291"/>
      <c r="BK92" s="292"/>
      <c r="BS92" s="291"/>
      <c r="BY92" s="292"/>
      <c r="CG92" s="291"/>
      <c r="CM92" s="292"/>
      <c r="CS92" s="292"/>
    </row>
    <row r="93" spans="1:98" ht="13.2" x14ac:dyDescent="0.25">
      <c r="A93" s="283">
        <v>98556</v>
      </c>
      <c r="B93" s="349" t="s">
        <v>137</v>
      </c>
      <c r="C93" s="274" t="s">
        <v>4</v>
      </c>
      <c r="D93" s="275">
        <f>252.42+16.12+((77.47+18.17)*0.3)</f>
        <v>297.23199999999997</v>
      </c>
      <c r="E93" s="412">
        <f>'5. ORÇAMENTO SINAPE'!H92</f>
        <v>68.562150000000003</v>
      </c>
      <c r="F93" s="413"/>
      <c r="G93" s="110">
        <f t="shared" ref="G93:G95" si="3">D93*E93</f>
        <v>20378.8649688</v>
      </c>
      <c r="H93" s="1"/>
      <c r="O93" s="1"/>
      <c r="U93" s="2"/>
      <c r="AC93" s="469">
        <f>G93*0.5</f>
        <v>10189.4324844</v>
      </c>
      <c r="AD93" s="470"/>
      <c r="AE93" s="470"/>
      <c r="AF93" s="470"/>
      <c r="AG93" s="470"/>
      <c r="AH93" s="470"/>
      <c r="AI93" s="471"/>
      <c r="AJ93" s="470">
        <f>G93*0.5</f>
        <v>10189.4324844</v>
      </c>
      <c r="AK93" s="470"/>
      <c r="AL93" s="470"/>
      <c r="AM93" s="470"/>
      <c r="AN93" s="470"/>
      <c r="AO93" s="470"/>
      <c r="AP93" s="470"/>
      <c r="AQ93" s="1"/>
      <c r="AW93" s="2"/>
      <c r="BE93" s="1"/>
      <c r="BK93" s="2"/>
      <c r="BS93" s="1"/>
      <c r="BY93" s="2"/>
      <c r="CG93" s="1"/>
      <c r="CM93" s="2"/>
      <c r="CS93" s="2"/>
    </row>
    <row r="94" spans="1:98" ht="13.2" x14ac:dyDescent="0.25">
      <c r="A94" s="283">
        <v>98553</v>
      </c>
      <c r="B94" s="350" t="s">
        <v>136</v>
      </c>
      <c r="C94" s="276" t="s">
        <v>4</v>
      </c>
      <c r="D94" s="275">
        <v>322</v>
      </c>
      <c r="E94" s="412">
        <f>'5. ORÇAMENTO SINAPE'!H93</f>
        <v>162.80865000000003</v>
      </c>
      <c r="F94" s="413"/>
      <c r="G94" s="110">
        <f t="shared" si="3"/>
        <v>52424.385300000009</v>
      </c>
      <c r="H94" s="1"/>
      <c r="O94" s="1"/>
      <c r="U94" s="2"/>
      <c r="AC94" s="1"/>
      <c r="AI94" s="2"/>
      <c r="AQ94" s="469">
        <f>G94*0.5</f>
        <v>26212.192650000005</v>
      </c>
      <c r="AR94" s="472"/>
      <c r="AS94" s="472"/>
      <c r="AT94" s="472"/>
      <c r="AU94" s="472"/>
      <c r="AV94" s="472"/>
      <c r="AW94" s="473"/>
      <c r="AX94" s="470">
        <f>G94*0.5</f>
        <v>26212.192650000005</v>
      </c>
      <c r="AY94" s="472"/>
      <c r="AZ94" s="472"/>
      <c r="BA94" s="472"/>
      <c r="BB94" s="472"/>
      <c r="BC94" s="472"/>
      <c r="BD94" s="472"/>
      <c r="BE94" s="1"/>
      <c r="BK94" s="2"/>
      <c r="BS94" s="1"/>
      <c r="BY94" s="2"/>
      <c r="CG94" s="1"/>
      <c r="CM94" s="2"/>
      <c r="CS94" s="2"/>
    </row>
    <row r="95" spans="1:98" ht="13.8" thickBot="1" x14ac:dyDescent="0.3">
      <c r="A95" s="283">
        <v>98563</v>
      </c>
      <c r="B95" s="351" t="s">
        <v>148</v>
      </c>
      <c r="C95" s="276" t="s">
        <v>4</v>
      </c>
      <c r="D95" s="275">
        <f>252.42+16.12</f>
        <v>268.53999999999996</v>
      </c>
      <c r="E95" s="551">
        <f>'5. ORÇAMENTO SINAPE'!H94</f>
        <v>45.056550000000001</v>
      </c>
      <c r="F95" s="552"/>
      <c r="G95" s="110">
        <f t="shared" si="3"/>
        <v>12099.485936999999</v>
      </c>
      <c r="H95" s="1"/>
      <c r="O95" s="309"/>
      <c r="P95" s="310"/>
      <c r="Q95" s="310"/>
      <c r="R95" s="310"/>
      <c r="S95" s="310"/>
      <c r="T95" s="310"/>
      <c r="U95" s="311"/>
      <c r="AC95" s="309"/>
      <c r="AD95" s="310"/>
      <c r="AE95" s="310"/>
      <c r="AF95" s="310"/>
      <c r="AG95" s="310"/>
      <c r="AH95" s="310"/>
      <c r="AI95" s="311"/>
      <c r="AJ95" s="470">
        <f>G95*1</f>
        <v>12099.485936999999</v>
      </c>
      <c r="AK95" s="470"/>
      <c r="AL95" s="470"/>
      <c r="AM95" s="470"/>
      <c r="AN95" s="470"/>
      <c r="AO95" s="470"/>
      <c r="AP95" s="470"/>
      <c r="AQ95" s="309"/>
      <c r="AR95" s="310"/>
      <c r="AS95" s="310"/>
      <c r="AT95" s="310"/>
      <c r="AU95" s="310"/>
      <c r="AV95" s="310"/>
      <c r="AW95" s="311"/>
      <c r="BE95" s="309"/>
      <c r="BF95" s="310"/>
      <c r="BG95" s="310"/>
      <c r="BH95" s="310"/>
      <c r="BI95" s="310"/>
      <c r="BJ95" s="310"/>
      <c r="BK95" s="311"/>
      <c r="BS95" s="309"/>
      <c r="BT95" s="310"/>
      <c r="BU95" s="310"/>
      <c r="BV95" s="310"/>
      <c r="BW95" s="310"/>
      <c r="BX95" s="310"/>
      <c r="BY95" s="311"/>
      <c r="CG95" s="309"/>
      <c r="CH95" s="310"/>
      <c r="CI95" s="310"/>
      <c r="CJ95" s="310"/>
      <c r="CK95" s="310"/>
      <c r="CL95" s="310"/>
      <c r="CM95" s="311"/>
      <c r="CS95" s="2"/>
    </row>
    <row r="96" spans="1:98" ht="13.8" thickBot="1" x14ac:dyDescent="0.3">
      <c r="B96" s="410" t="s">
        <v>145</v>
      </c>
      <c r="C96" s="411"/>
      <c r="D96" s="411"/>
      <c r="E96" s="411"/>
      <c r="F96" s="411"/>
      <c r="G96" s="303">
        <f>G8+G9+G10+G11+G13+G14+G16+G17+G19+G20+G23+G24+G25+G28+G30+G32+G33+G35+G36+G37+G38+G39+G40+G41+G43+G44+G45+G46+G49+G50+G51+G52+G53+G55+G56+G59+G58+G60+G61+G62+G65+G66+G70+G71+G72+G74+G75+G76+G77+G78+G80+G81+G82+G83+G85+G86+G88+G90+G92+G93+G94+G95+G89+G63+G67+G68+G47</f>
        <v>510364.39361692494</v>
      </c>
      <c r="H96" s="410">
        <f>SUM(H6:N94)</f>
        <v>0</v>
      </c>
      <c r="I96" s="411"/>
      <c r="J96" s="411"/>
      <c r="K96" s="411"/>
      <c r="L96" s="411"/>
      <c r="M96" s="411"/>
      <c r="N96" s="418"/>
      <c r="O96" s="467">
        <f>SUM(O6:U94)+H96</f>
        <v>1085.6282378625001</v>
      </c>
      <c r="P96" s="467"/>
      <c r="Q96" s="467"/>
      <c r="R96" s="467"/>
      <c r="S96" s="467"/>
      <c r="T96" s="467"/>
      <c r="U96" s="467"/>
      <c r="V96" s="466">
        <f>SUM(V6:AB94)+O96</f>
        <v>39025.991367225011</v>
      </c>
      <c r="W96" s="467"/>
      <c r="X96" s="467"/>
      <c r="Y96" s="467"/>
      <c r="Z96" s="467"/>
      <c r="AA96" s="467"/>
      <c r="AB96" s="468"/>
      <c r="AC96" s="467">
        <f>SUM(AC6:AI94)+V96</f>
        <v>92897.914039125011</v>
      </c>
      <c r="AD96" s="467"/>
      <c r="AE96" s="467"/>
      <c r="AF96" s="467"/>
      <c r="AG96" s="467"/>
      <c r="AH96" s="467"/>
      <c r="AI96" s="467"/>
      <c r="AJ96" s="466">
        <f>SUM(AJ6:AP95)+AC96</f>
        <v>127334.26733152501</v>
      </c>
      <c r="AK96" s="467"/>
      <c r="AL96" s="467"/>
      <c r="AM96" s="467"/>
      <c r="AN96" s="467"/>
      <c r="AO96" s="467"/>
      <c r="AP96" s="468"/>
      <c r="AQ96" s="467">
        <f>SUM(AQ6:AW94)+AJ96</f>
        <v>167802.72689752502</v>
      </c>
      <c r="AR96" s="467"/>
      <c r="AS96" s="467"/>
      <c r="AT96" s="467"/>
      <c r="AU96" s="467"/>
      <c r="AV96" s="467"/>
      <c r="AW96" s="467"/>
      <c r="AX96" s="466">
        <f>SUM(AX6:BD94)+AQ96</f>
        <v>210257.06604352503</v>
      </c>
      <c r="AY96" s="467"/>
      <c r="AZ96" s="467"/>
      <c r="BA96" s="467"/>
      <c r="BB96" s="467"/>
      <c r="BC96" s="467"/>
      <c r="BD96" s="468"/>
      <c r="BE96" s="467">
        <f>SUM(BE6:BK94)+AX96</f>
        <v>259939.59215952503</v>
      </c>
      <c r="BF96" s="467"/>
      <c r="BG96" s="467"/>
      <c r="BH96" s="467"/>
      <c r="BI96" s="467"/>
      <c r="BJ96" s="467"/>
      <c r="BK96" s="467"/>
      <c r="BL96" s="466">
        <f>SUM(BL6:BR94)+BE96</f>
        <v>312496.83322052506</v>
      </c>
      <c r="BM96" s="467"/>
      <c r="BN96" s="467"/>
      <c r="BO96" s="467"/>
      <c r="BP96" s="467"/>
      <c r="BQ96" s="467"/>
      <c r="BR96" s="468"/>
      <c r="BS96" s="467">
        <f>SUM(BS6:BY94)+BL96</f>
        <v>376901.19514792506</v>
      </c>
      <c r="BT96" s="467"/>
      <c r="BU96" s="467"/>
      <c r="BV96" s="467"/>
      <c r="BW96" s="467"/>
      <c r="BX96" s="467"/>
      <c r="BY96" s="467"/>
      <c r="BZ96" s="466">
        <f>SUM(BZ6:CF94)+BS96</f>
        <v>452130.33085492509</v>
      </c>
      <c r="CA96" s="467"/>
      <c r="CB96" s="467"/>
      <c r="CC96" s="467"/>
      <c r="CD96" s="467"/>
      <c r="CE96" s="467"/>
      <c r="CF96" s="468"/>
      <c r="CG96" s="467">
        <f>SUM(CG6:CM94)+BZ96</f>
        <v>510364.39361692511</v>
      </c>
      <c r="CH96" s="467"/>
      <c r="CI96" s="467"/>
      <c r="CJ96" s="467"/>
      <c r="CK96" s="467"/>
      <c r="CL96" s="467"/>
      <c r="CM96" s="467"/>
      <c r="CN96" s="466">
        <f>SUM(CN6:CT94)+CG96</f>
        <v>510364.39361692511</v>
      </c>
      <c r="CO96" s="467"/>
      <c r="CP96" s="467"/>
      <c r="CQ96" s="467"/>
      <c r="CR96" s="467"/>
      <c r="CS96" s="468"/>
      <c r="CT96" s="109"/>
    </row>
    <row r="97" spans="1:97" ht="13.2" x14ac:dyDescent="0.25">
      <c r="C97" s="106"/>
      <c r="D97" s="107"/>
    </row>
    <row r="98" spans="1:97" ht="13.2" x14ac:dyDescent="0.25"/>
    <row r="99" spans="1:97" ht="13.2" x14ac:dyDescent="0.25"/>
    <row r="100" spans="1:97" ht="13.2" x14ac:dyDescent="0.25">
      <c r="C100" s="106"/>
      <c r="D100" s="107"/>
    </row>
    <row r="101" spans="1:97" ht="13.2" x14ac:dyDescent="0.25">
      <c r="C101" s="106"/>
      <c r="D101" s="107"/>
    </row>
    <row r="102" spans="1:97" ht="13.2" x14ac:dyDescent="0.25">
      <c r="C102" s="106"/>
      <c r="D102" s="107"/>
    </row>
    <row r="103" spans="1:97" ht="13.2" x14ac:dyDescent="0.25">
      <c r="C103" s="106"/>
      <c r="D103" s="107"/>
    </row>
    <row r="104" spans="1:97" ht="13.2" x14ac:dyDescent="0.25">
      <c r="C104" s="106"/>
      <c r="D104" s="107"/>
    </row>
    <row r="105" spans="1:97" ht="13.2" x14ac:dyDescent="0.25">
      <c r="C105" s="106"/>
      <c r="D105" s="107"/>
    </row>
    <row r="106" spans="1:97" ht="13.2" x14ac:dyDescent="0.25">
      <c r="C106" s="106"/>
      <c r="D106" s="107"/>
    </row>
    <row r="107" spans="1:97" ht="13.2" x14ac:dyDescent="0.25"/>
    <row r="108" spans="1:97" s="7" customFormat="1" ht="13.2" x14ac:dyDescent="0.25">
      <c r="A108" s="283"/>
      <c r="C108" s="106"/>
      <c r="D108" s="107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</row>
    <row r="109" spans="1:97" s="7" customFormat="1" ht="11.4" x14ac:dyDescent="0.2">
      <c r="A109" s="283"/>
    </row>
    <row r="110" spans="1:97" s="7" customFormat="1" ht="11.4" x14ac:dyDescent="0.2">
      <c r="A110" s="283"/>
    </row>
    <row r="111" spans="1:97" s="7" customFormat="1" ht="11.4" x14ac:dyDescent="0.2">
      <c r="A111" s="283"/>
    </row>
    <row r="112" spans="1:97" s="7" customFormat="1" ht="11.4" x14ac:dyDescent="0.2">
      <c r="A112" s="283"/>
    </row>
    <row r="113" spans="1:97" s="7" customFormat="1" ht="13.2" x14ac:dyDescent="0.25">
      <c r="A113" s="283"/>
      <c r="C113" s="106"/>
      <c r="D113" s="107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</row>
    <row r="114" spans="1:97" s="7" customFormat="1" ht="11.4" x14ac:dyDescent="0.2">
      <c r="A114" s="283"/>
    </row>
    <row r="115" spans="1:97" s="7" customFormat="1" ht="13.2" x14ac:dyDescent="0.25">
      <c r="A115" s="283"/>
      <c r="C115" s="106"/>
      <c r="D115" s="107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</row>
    <row r="116" spans="1:97" s="7" customFormat="1" ht="11.4" x14ac:dyDescent="0.2">
      <c r="A116" s="283"/>
    </row>
    <row r="117" spans="1:97" s="7" customFormat="1" ht="11.4" x14ac:dyDescent="0.2">
      <c r="A117" s="283"/>
    </row>
    <row r="118" spans="1:97" s="7" customFormat="1" ht="11.4" x14ac:dyDescent="0.2">
      <c r="A118" s="283"/>
    </row>
    <row r="119" spans="1:97" s="7" customFormat="1" ht="11.4" x14ac:dyDescent="0.2">
      <c r="A119" s="283"/>
    </row>
    <row r="120" spans="1:97" s="7" customFormat="1" ht="11.4" x14ac:dyDescent="0.2">
      <c r="A120" s="283"/>
    </row>
    <row r="121" spans="1:97" s="7" customFormat="1" ht="13.2" x14ac:dyDescent="0.25">
      <c r="A121" s="283"/>
      <c r="C121" s="106"/>
      <c r="D121" s="107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</row>
    <row r="122" spans="1:97" s="7" customFormat="1" ht="11.4" x14ac:dyDescent="0.2">
      <c r="A122" s="283"/>
    </row>
    <row r="123" spans="1:97" s="7" customFormat="1" ht="13.2" x14ac:dyDescent="0.25">
      <c r="A123" s="283"/>
      <c r="C123" s="106"/>
      <c r="D123" s="107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</row>
    <row r="124" spans="1:97" s="7" customFormat="1" ht="11.4" x14ac:dyDescent="0.2">
      <c r="A124" s="283"/>
    </row>
    <row r="125" spans="1:97" s="7" customFormat="1" ht="11.4" x14ac:dyDescent="0.2">
      <c r="A125" s="283"/>
    </row>
    <row r="126" spans="1:97" s="7" customFormat="1" ht="11.4" x14ac:dyDescent="0.2">
      <c r="A126" s="283"/>
    </row>
    <row r="127" spans="1:97" s="7" customFormat="1" ht="11.4" x14ac:dyDescent="0.2">
      <c r="A127" s="283"/>
    </row>
    <row r="128" spans="1:97" s="7" customFormat="1" ht="11.4" x14ac:dyDescent="0.2">
      <c r="A128" s="283"/>
    </row>
    <row r="129" spans="1:97" s="7" customFormat="1" ht="11.4" x14ac:dyDescent="0.2">
      <c r="A129" s="283"/>
    </row>
    <row r="130" spans="1:97" s="7" customFormat="1" ht="11.4" x14ac:dyDescent="0.2">
      <c r="A130" s="283"/>
    </row>
    <row r="131" spans="1:97" s="7" customFormat="1" ht="13.2" x14ac:dyDescent="0.25">
      <c r="A131" s="283"/>
      <c r="C131" s="106"/>
      <c r="D131" s="107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</row>
    <row r="132" spans="1:97" s="7" customFormat="1" ht="13.2" x14ac:dyDescent="0.25">
      <c r="A132" s="283"/>
      <c r="C132" s="106"/>
      <c r="D132" s="107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</row>
    <row r="133" spans="1:97" s="7" customFormat="1" ht="13.2" x14ac:dyDescent="0.25">
      <c r="A133" s="283"/>
      <c r="C133" s="106"/>
      <c r="D133" s="107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</row>
    <row r="134" spans="1:97" s="7" customFormat="1" ht="13.2" x14ac:dyDescent="0.25">
      <c r="A134" s="283"/>
      <c r="C134" s="106"/>
      <c r="D134" s="107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</row>
    <row r="135" spans="1:97" s="7" customFormat="1" ht="13.2" x14ac:dyDescent="0.25">
      <c r="A135" s="283"/>
      <c r="C135" s="106"/>
      <c r="D135" s="107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</row>
    <row r="136" spans="1:97" s="7" customFormat="1" ht="13.2" x14ac:dyDescent="0.25">
      <c r="A136" s="283"/>
      <c r="C136" s="106"/>
      <c r="D136" s="107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</row>
    <row r="137" spans="1:97" s="7" customFormat="1" ht="13.2" x14ac:dyDescent="0.25">
      <c r="A137" s="283"/>
      <c r="C137" s="106"/>
      <c r="D137" s="10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</row>
    <row r="138" spans="1:97" s="7" customFormat="1" ht="13.2" x14ac:dyDescent="0.25">
      <c r="A138" s="283"/>
      <c r="C138" s="106"/>
      <c r="D138" s="107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</row>
    <row r="139" spans="1:97" s="7" customFormat="1" ht="13.2" x14ac:dyDescent="0.25">
      <c r="A139" s="283"/>
      <c r="C139" s="106"/>
      <c r="D139" s="107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</row>
    <row r="140" spans="1:97" s="7" customFormat="1" ht="13.2" x14ac:dyDescent="0.25">
      <c r="A140" s="283"/>
      <c r="C140" s="106"/>
      <c r="D140" s="107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</row>
    <row r="141" spans="1:97" s="7" customFormat="1" ht="13.2" x14ac:dyDescent="0.25">
      <c r="A141" s="283"/>
      <c r="C141" s="106"/>
      <c r="D141" s="107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</row>
    <row r="142" spans="1:97" s="7" customFormat="1" ht="13.2" x14ac:dyDescent="0.25">
      <c r="A142" s="283"/>
      <c r="C142" s="106"/>
      <c r="D142" s="107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</row>
    <row r="143" spans="1:97" s="7" customFormat="1" ht="13.2" x14ac:dyDescent="0.25">
      <c r="A143" s="283"/>
      <c r="C143" s="106"/>
      <c r="D143" s="107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</row>
    <row r="144" spans="1:97" s="7" customFormat="1" ht="13.2" x14ac:dyDescent="0.25">
      <c r="A144" s="283"/>
      <c r="C144" s="106"/>
      <c r="D144" s="107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</row>
    <row r="145" spans="1:97" s="7" customFormat="1" ht="13.2" x14ac:dyDescent="0.25">
      <c r="A145" s="283"/>
      <c r="C145" s="106"/>
      <c r="D145" s="107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</row>
    <row r="146" spans="1:97" s="7" customFormat="1" ht="13.2" x14ac:dyDescent="0.25">
      <c r="A146" s="283"/>
      <c r="C146" s="106"/>
      <c r="D146" s="107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</row>
    <row r="147" spans="1:97" s="7" customFormat="1" ht="13.2" x14ac:dyDescent="0.25">
      <c r="A147" s="283"/>
      <c r="C147" s="106"/>
      <c r="D147" s="10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</row>
    <row r="148" spans="1:97" s="7" customFormat="1" ht="13.2" x14ac:dyDescent="0.25">
      <c r="A148" s="283"/>
      <c r="C148" s="106"/>
      <c r="D148" s="107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</row>
    <row r="149" spans="1:97" s="7" customFormat="1" ht="13.2" x14ac:dyDescent="0.25">
      <c r="A149" s="283"/>
      <c r="C149" s="106"/>
      <c r="D149" s="107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</row>
    <row r="150" spans="1:97" s="7" customFormat="1" ht="13.2" x14ac:dyDescent="0.25">
      <c r="A150" s="283"/>
      <c r="C150" s="106"/>
      <c r="D150" s="107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</row>
    <row r="151" spans="1:97" s="7" customFormat="1" ht="13.2" x14ac:dyDescent="0.25">
      <c r="A151" s="283"/>
      <c r="C151" s="106"/>
      <c r="D151" s="107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</row>
    <row r="152" spans="1:97" s="7" customFormat="1" ht="13.2" x14ac:dyDescent="0.25">
      <c r="A152" s="283"/>
      <c r="C152" s="106"/>
      <c r="D152" s="107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</row>
    <row r="153" spans="1:97" s="7" customFormat="1" ht="13.2" x14ac:dyDescent="0.25">
      <c r="A153" s="283"/>
      <c r="C153" s="106"/>
      <c r="D153" s="107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</row>
    <row r="154" spans="1:97" s="7" customFormat="1" ht="13.2" x14ac:dyDescent="0.25">
      <c r="A154" s="283"/>
      <c r="C154" s="106"/>
      <c r="D154" s="107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</row>
    <row r="155" spans="1:97" s="7" customFormat="1" ht="13.2" x14ac:dyDescent="0.25">
      <c r="A155" s="283"/>
      <c r="C155" s="106"/>
      <c r="D155" s="107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</row>
    <row r="156" spans="1:97" s="7" customFormat="1" ht="13.2" x14ac:dyDescent="0.25">
      <c r="A156" s="283"/>
      <c r="C156" s="106"/>
      <c r="D156" s="107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</row>
    <row r="157" spans="1:97" s="7" customFormat="1" ht="13.2" x14ac:dyDescent="0.25">
      <c r="A157" s="283"/>
      <c r="C157" s="106"/>
      <c r="D157" s="10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</row>
    <row r="158" spans="1:97" s="7" customFormat="1" ht="13.2" x14ac:dyDescent="0.25">
      <c r="A158" s="283"/>
      <c r="C158" s="106"/>
      <c r="D158" s="107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</row>
    <row r="159" spans="1:97" s="7" customFormat="1" ht="13.2" x14ac:dyDescent="0.25">
      <c r="A159" s="283"/>
      <c r="C159" s="106"/>
      <c r="D159" s="107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</row>
    <row r="160" spans="1:97" s="7" customFormat="1" ht="13.2" x14ac:dyDescent="0.25">
      <c r="A160" s="283"/>
      <c r="C160" s="106"/>
      <c r="D160" s="107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</row>
    <row r="161" spans="1:97" s="7" customFormat="1" ht="13.2" x14ac:dyDescent="0.25">
      <c r="A161" s="283"/>
      <c r="C161" s="106"/>
      <c r="D161" s="107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</row>
    <row r="162" spans="1:97" s="7" customFormat="1" ht="13.2" x14ac:dyDescent="0.25">
      <c r="A162" s="283"/>
      <c r="C162" s="106"/>
      <c r="D162" s="107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</row>
    <row r="163" spans="1:97" s="7" customFormat="1" ht="13.2" x14ac:dyDescent="0.25">
      <c r="A163" s="283"/>
      <c r="C163" s="106"/>
      <c r="D163" s="107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</row>
    <row r="164" spans="1:97" s="7" customFormat="1" ht="13.2" x14ac:dyDescent="0.25">
      <c r="A164" s="283"/>
      <c r="C164" s="106"/>
      <c r="D164" s="107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</row>
    <row r="165" spans="1:97" s="7" customFormat="1" ht="13.2" x14ac:dyDescent="0.25">
      <c r="A165" s="283"/>
      <c r="C165" s="106"/>
      <c r="D165" s="107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</row>
    <row r="166" spans="1:97" s="7" customFormat="1" ht="13.2" x14ac:dyDescent="0.25">
      <c r="A166" s="283"/>
      <c r="C166" s="106"/>
      <c r="D166" s="107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</row>
    <row r="167" spans="1:97" s="7" customFormat="1" ht="13.2" x14ac:dyDescent="0.25">
      <c r="A167" s="283"/>
      <c r="C167" s="106"/>
      <c r="D167" s="10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</row>
    <row r="168" spans="1:97" s="7" customFormat="1" ht="13.2" x14ac:dyDescent="0.25">
      <c r="A168" s="283"/>
      <c r="C168" s="106"/>
      <c r="D168" s="107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</row>
    <row r="169" spans="1:97" s="7" customFormat="1" ht="13.2" x14ac:dyDescent="0.25">
      <c r="A169" s="283"/>
      <c r="C169" s="106"/>
      <c r="D169" s="107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</row>
    <row r="170" spans="1:97" s="7" customFormat="1" ht="13.2" x14ac:dyDescent="0.25">
      <c r="A170" s="283"/>
      <c r="C170" s="106"/>
      <c r="D170" s="107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</row>
    <row r="171" spans="1:97" s="7" customFormat="1" ht="13.2" x14ac:dyDescent="0.25">
      <c r="A171" s="283"/>
      <c r="C171" s="106"/>
      <c r="D171" s="107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</row>
    <row r="172" spans="1:97" s="7" customFormat="1" ht="13.2" x14ac:dyDescent="0.25">
      <c r="A172" s="283"/>
      <c r="C172" s="106"/>
      <c r="D172" s="107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</row>
    <row r="173" spans="1:97" s="7" customFormat="1" ht="13.2" x14ac:dyDescent="0.25">
      <c r="A173" s="283"/>
      <c r="C173" s="106"/>
      <c r="D173" s="107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</row>
    <row r="174" spans="1:97" s="7" customFormat="1" ht="13.2" x14ac:dyDescent="0.25">
      <c r="A174" s="283"/>
      <c r="C174" s="106"/>
      <c r="D174" s="107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</row>
    <row r="175" spans="1:97" s="7" customFormat="1" ht="13.2" x14ac:dyDescent="0.25">
      <c r="A175" s="283"/>
      <c r="C175" s="106"/>
      <c r="D175" s="107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</row>
    <row r="176" spans="1:97" s="7" customFormat="1" ht="13.2" x14ac:dyDescent="0.25">
      <c r="A176" s="283"/>
      <c r="C176" s="106"/>
      <c r="D176" s="107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</row>
    <row r="177" spans="1:97" s="7" customFormat="1" ht="13.2" x14ac:dyDescent="0.25">
      <c r="A177" s="283"/>
      <c r="C177" s="106"/>
      <c r="D177" s="10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</row>
    <row r="178" spans="1:97" s="7" customFormat="1" ht="13.2" x14ac:dyDescent="0.25">
      <c r="A178" s="283"/>
      <c r="C178" s="106"/>
      <c r="D178" s="107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</row>
    <row r="179" spans="1:97" s="7" customFormat="1" ht="13.2" x14ac:dyDescent="0.25">
      <c r="A179" s="283"/>
      <c r="C179" s="106"/>
      <c r="D179" s="107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</row>
    <row r="180" spans="1:97" s="7" customFormat="1" ht="13.2" x14ac:dyDescent="0.25">
      <c r="A180" s="283"/>
      <c r="C180" s="106"/>
      <c r="D180" s="107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</row>
    <row r="181" spans="1:97" s="7" customFormat="1" ht="13.2" x14ac:dyDescent="0.25">
      <c r="A181" s="283"/>
      <c r="C181" s="106"/>
      <c r="D181" s="107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</row>
    <row r="182" spans="1:97" s="7" customFormat="1" ht="13.2" x14ac:dyDescent="0.25">
      <c r="A182" s="283"/>
      <c r="C182" s="106"/>
      <c r="D182" s="107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</row>
    <row r="183" spans="1:97" s="7" customFormat="1" ht="13.2" x14ac:dyDescent="0.25">
      <c r="A183" s="283"/>
      <c r="C183" s="106"/>
      <c r="D183" s="107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</row>
    <row r="184" spans="1:97" s="7" customFormat="1" ht="13.2" x14ac:dyDescent="0.25">
      <c r="A184" s="283"/>
      <c r="C184" s="106"/>
      <c r="D184" s="107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</row>
    <row r="185" spans="1:97" s="7" customFormat="1" ht="13.2" x14ac:dyDescent="0.25">
      <c r="A185" s="283"/>
      <c r="C185" s="106"/>
      <c r="D185" s="107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</row>
    <row r="186" spans="1:97" s="7" customFormat="1" ht="13.2" x14ac:dyDescent="0.25">
      <c r="A186" s="283"/>
      <c r="C186" s="106"/>
      <c r="D186" s="107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</row>
    <row r="187" spans="1:97" s="7" customFormat="1" ht="13.2" x14ac:dyDescent="0.25">
      <c r="A187" s="283"/>
      <c r="C187" s="106"/>
      <c r="D187" s="10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</row>
    <row r="188" spans="1:97" s="7" customFormat="1" ht="13.2" x14ac:dyDescent="0.25">
      <c r="A188" s="283"/>
      <c r="C188" s="106"/>
      <c r="D188" s="107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</row>
    <row r="189" spans="1:97" s="7" customFormat="1" ht="13.2" x14ac:dyDescent="0.25">
      <c r="A189" s="283"/>
      <c r="C189" s="106"/>
      <c r="D189" s="107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</row>
    <row r="190" spans="1:97" s="7" customFormat="1" ht="13.2" x14ac:dyDescent="0.25">
      <c r="A190" s="283"/>
      <c r="C190" s="106"/>
      <c r="D190" s="107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</row>
    <row r="191" spans="1:97" s="7" customFormat="1" ht="13.2" x14ac:dyDescent="0.25">
      <c r="A191" s="283"/>
      <c r="C191" s="106"/>
      <c r="D191" s="107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</row>
    <row r="192" spans="1:97" s="7" customFormat="1" ht="13.2" x14ac:dyDescent="0.25">
      <c r="A192" s="283"/>
      <c r="C192" s="106"/>
      <c r="D192" s="107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</row>
    <row r="193" spans="1:97" s="7" customFormat="1" ht="13.2" x14ac:dyDescent="0.25">
      <c r="A193" s="283"/>
      <c r="C193" s="106"/>
      <c r="D193" s="107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</row>
    <row r="194" spans="1:97" s="7" customFormat="1" ht="13.2" x14ac:dyDescent="0.25">
      <c r="A194" s="283"/>
      <c r="C194" s="106"/>
      <c r="D194" s="107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</row>
    <row r="195" spans="1:97" s="7" customFormat="1" ht="13.2" x14ac:dyDescent="0.25">
      <c r="A195" s="283"/>
      <c r="C195" s="106"/>
      <c r="D195" s="107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</row>
    <row r="196" spans="1:97" s="7" customFormat="1" ht="13.2" x14ac:dyDescent="0.25">
      <c r="A196" s="283"/>
      <c r="C196" s="106"/>
      <c r="D196" s="107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</row>
    <row r="197" spans="1:97" s="7" customFormat="1" ht="13.2" x14ac:dyDescent="0.25">
      <c r="A197" s="283"/>
      <c r="C197" s="106"/>
      <c r="D197" s="10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</row>
    <row r="198" spans="1:97" s="7" customFormat="1" ht="13.2" x14ac:dyDescent="0.25">
      <c r="A198" s="283"/>
      <c r="C198" s="106"/>
      <c r="D198" s="107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</row>
    <row r="199" spans="1:97" s="7" customFormat="1" ht="13.2" x14ac:dyDescent="0.25">
      <c r="A199" s="283"/>
      <c r="C199" s="106"/>
      <c r="D199" s="107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</row>
    <row r="200" spans="1:97" s="7" customFormat="1" ht="13.2" x14ac:dyDescent="0.25">
      <c r="A200" s="283"/>
      <c r="C200" s="106"/>
      <c r="D200" s="107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</row>
    <row r="201" spans="1:97" s="7" customFormat="1" ht="13.2" x14ac:dyDescent="0.25">
      <c r="A201" s="283"/>
      <c r="C201" s="106"/>
      <c r="D201" s="107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</row>
    <row r="202" spans="1:97" s="7" customFormat="1" ht="13.2" x14ac:dyDescent="0.25">
      <c r="A202" s="283"/>
      <c r="C202" s="106"/>
      <c r="D202" s="107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</row>
    <row r="203" spans="1:97" s="7" customFormat="1" ht="13.2" x14ac:dyDescent="0.25">
      <c r="A203" s="283"/>
      <c r="C203" s="106"/>
      <c r="D203" s="107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</row>
    <row r="204" spans="1:97" s="7" customFormat="1" ht="13.2" x14ac:dyDescent="0.25">
      <c r="A204" s="283"/>
      <c r="C204" s="106"/>
      <c r="D204" s="107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</row>
    <row r="205" spans="1:97" s="7" customFormat="1" ht="13.2" x14ac:dyDescent="0.25">
      <c r="A205" s="283"/>
      <c r="C205" s="106"/>
      <c r="D205" s="107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</row>
    <row r="206" spans="1:97" s="7" customFormat="1" ht="13.2" x14ac:dyDescent="0.25">
      <c r="A206" s="283"/>
      <c r="C206" s="106"/>
      <c r="D206" s="107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</row>
    <row r="207" spans="1:97" s="7" customFormat="1" ht="13.2" x14ac:dyDescent="0.25">
      <c r="A207" s="283"/>
      <c r="C207" s="106"/>
      <c r="D207" s="1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</row>
    <row r="208" spans="1:97" s="7" customFormat="1" ht="13.2" x14ac:dyDescent="0.25">
      <c r="A208" s="283"/>
      <c r="C208" s="106"/>
      <c r="D208" s="107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</row>
    <row r="209" spans="1:97" s="7" customFormat="1" ht="13.2" x14ac:dyDescent="0.25">
      <c r="A209" s="283"/>
      <c r="C209" s="106"/>
      <c r="D209" s="107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</row>
    <row r="210" spans="1:97" s="7" customFormat="1" ht="13.2" x14ac:dyDescent="0.25">
      <c r="A210" s="283"/>
      <c r="C210" s="106"/>
      <c r="D210" s="107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</row>
    <row r="211" spans="1:97" s="7" customFormat="1" ht="13.2" x14ac:dyDescent="0.25">
      <c r="A211" s="283"/>
      <c r="C211" s="106"/>
      <c r="D211" s="107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</row>
    <row r="212" spans="1:97" s="7" customFormat="1" ht="13.2" x14ac:dyDescent="0.25">
      <c r="A212" s="283"/>
      <c r="C212" s="106"/>
      <c r="D212" s="107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</row>
    <row r="213" spans="1:97" s="7" customFormat="1" ht="13.2" x14ac:dyDescent="0.25">
      <c r="A213" s="283"/>
      <c r="C213" s="106"/>
      <c r="D213" s="107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</row>
    <row r="214" spans="1:97" s="7" customFormat="1" ht="13.2" x14ac:dyDescent="0.25">
      <c r="A214" s="283"/>
      <c r="C214" s="106"/>
      <c r="D214" s="107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</row>
    <row r="215" spans="1:97" s="7" customFormat="1" ht="13.2" x14ac:dyDescent="0.25">
      <c r="A215" s="283"/>
      <c r="C215" s="106"/>
      <c r="D215" s="107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</row>
    <row r="216" spans="1:97" s="7" customFormat="1" ht="13.2" x14ac:dyDescent="0.25">
      <c r="A216" s="283"/>
      <c r="C216" s="106"/>
      <c r="D216" s="107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</row>
    <row r="217" spans="1:97" s="7" customFormat="1" ht="13.2" x14ac:dyDescent="0.25">
      <c r="A217" s="283"/>
      <c r="C217" s="106"/>
      <c r="D217" s="10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</row>
    <row r="218" spans="1:97" s="7" customFormat="1" ht="13.2" x14ac:dyDescent="0.25">
      <c r="A218" s="283"/>
      <c r="C218" s="106"/>
      <c r="D218" s="107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</row>
    <row r="219" spans="1:97" s="7" customFormat="1" ht="13.2" x14ac:dyDescent="0.25">
      <c r="A219" s="283"/>
      <c r="C219" s="106"/>
      <c r="D219" s="107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</row>
    <row r="220" spans="1:97" s="7" customFormat="1" ht="13.2" x14ac:dyDescent="0.25">
      <c r="A220" s="283"/>
      <c r="C220" s="106"/>
      <c r="D220" s="107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</row>
    <row r="221" spans="1:97" s="7" customFormat="1" ht="13.2" x14ac:dyDescent="0.25">
      <c r="A221" s="283"/>
      <c r="C221" s="106"/>
      <c r="D221" s="107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</row>
    <row r="222" spans="1:97" s="7" customFormat="1" ht="13.2" x14ac:dyDescent="0.25">
      <c r="A222" s="283"/>
      <c r="C222" s="106"/>
      <c r="D222" s="107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</row>
    <row r="223" spans="1:97" s="7" customFormat="1" ht="13.2" x14ac:dyDescent="0.25">
      <c r="A223" s="283"/>
      <c r="C223" s="106"/>
      <c r="D223" s="107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</row>
    <row r="224" spans="1:97" s="7" customFormat="1" ht="13.2" x14ac:dyDescent="0.25">
      <c r="A224" s="283"/>
      <c r="C224" s="106"/>
      <c r="D224" s="107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</row>
    <row r="225" spans="1:97" s="7" customFormat="1" ht="13.2" x14ac:dyDescent="0.25">
      <c r="A225" s="283"/>
      <c r="C225" s="106"/>
      <c r="D225" s="107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</row>
    <row r="226" spans="1:97" s="7" customFormat="1" ht="13.2" x14ac:dyDescent="0.25">
      <c r="A226" s="283"/>
      <c r="C226" s="106"/>
      <c r="D226" s="107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</row>
    <row r="227" spans="1:97" s="7" customFormat="1" ht="13.2" x14ac:dyDescent="0.25">
      <c r="A227" s="283"/>
      <c r="C227" s="106"/>
      <c r="D227" s="10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</row>
    <row r="228" spans="1:97" s="7" customFormat="1" ht="13.2" x14ac:dyDescent="0.25">
      <c r="A228" s="283"/>
      <c r="C228" s="106"/>
      <c r="D228" s="107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</row>
    <row r="229" spans="1:97" s="7" customFormat="1" ht="13.2" x14ac:dyDescent="0.25">
      <c r="A229" s="283"/>
      <c r="C229" s="106"/>
      <c r="D229" s="107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</row>
    <row r="230" spans="1:97" s="7" customFormat="1" ht="13.2" x14ac:dyDescent="0.25">
      <c r="A230" s="283"/>
      <c r="C230" s="106"/>
      <c r="D230" s="107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</row>
    <row r="231" spans="1:97" s="7" customFormat="1" ht="13.2" x14ac:dyDescent="0.25">
      <c r="A231" s="283"/>
      <c r="C231" s="106"/>
      <c r="D231" s="107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</row>
    <row r="232" spans="1:97" s="7" customFormat="1" ht="13.2" x14ac:dyDescent="0.25">
      <c r="A232" s="283"/>
      <c r="C232" s="106"/>
      <c r="D232" s="107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</row>
    <row r="233" spans="1:97" s="7" customFormat="1" ht="13.2" x14ac:dyDescent="0.25">
      <c r="A233" s="283"/>
      <c r="C233" s="106"/>
      <c r="D233" s="107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</row>
    <row r="234" spans="1:97" s="7" customFormat="1" ht="13.2" x14ac:dyDescent="0.25">
      <c r="A234" s="283"/>
      <c r="C234" s="106"/>
      <c r="D234" s="107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</row>
    <row r="235" spans="1:97" s="7" customFormat="1" ht="13.2" x14ac:dyDescent="0.25">
      <c r="A235" s="283"/>
      <c r="C235" s="106"/>
      <c r="D235" s="107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</row>
    <row r="236" spans="1:97" s="7" customFormat="1" ht="13.2" x14ac:dyDescent="0.25">
      <c r="A236" s="283"/>
      <c r="C236" s="106"/>
      <c r="D236" s="107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</row>
    <row r="237" spans="1:97" s="7" customFormat="1" ht="13.2" x14ac:dyDescent="0.25">
      <c r="A237" s="283"/>
      <c r="C237" s="106"/>
      <c r="D237" s="10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</row>
    <row r="238" spans="1:97" s="7" customFormat="1" ht="13.2" x14ac:dyDescent="0.25">
      <c r="A238" s="283"/>
      <c r="C238" s="106"/>
      <c r="D238" s="107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</row>
    <row r="239" spans="1:97" s="7" customFormat="1" ht="13.2" x14ac:dyDescent="0.25">
      <c r="A239" s="283"/>
      <c r="C239" s="106"/>
      <c r="D239" s="107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</row>
    <row r="240" spans="1:97" s="7" customFormat="1" ht="13.2" x14ac:dyDescent="0.25">
      <c r="A240" s="283"/>
      <c r="C240" s="106"/>
      <c r="D240" s="107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</row>
    <row r="241" spans="1:97" s="7" customFormat="1" ht="13.2" x14ac:dyDescent="0.25">
      <c r="A241" s="283"/>
      <c r="C241" s="106"/>
      <c r="D241" s="107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</row>
    <row r="242" spans="1:97" s="7" customFormat="1" ht="13.2" x14ac:dyDescent="0.25">
      <c r="A242" s="283"/>
      <c r="C242" s="106"/>
      <c r="D242" s="107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</row>
    <row r="243" spans="1:97" s="7" customFormat="1" ht="13.2" x14ac:dyDescent="0.25">
      <c r="A243" s="283"/>
      <c r="C243" s="106"/>
      <c r="D243" s="107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</row>
    <row r="244" spans="1:97" s="7" customFormat="1" ht="13.2" x14ac:dyDescent="0.25">
      <c r="A244" s="283"/>
      <c r="C244" s="106"/>
      <c r="D244" s="107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</row>
    <row r="245" spans="1:97" s="7" customFormat="1" ht="13.2" x14ac:dyDescent="0.25">
      <c r="A245" s="283"/>
      <c r="C245" s="106"/>
      <c r="D245" s="107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</row>
    <row r="246" spans="1:97" s="7" customFormat="1" ht="13.2" x14ac:dyDescent="0.25">
      <c r="A246" s="283"/>
      <c r="C246" s="106"/>
      <c r="D246" s="107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</row>
    <row r="247" spans="1:97" s="7" customFormat="1" ht="13.2" x14ac:dyDescent="0.25">
      <c r="A247" s="283"/>
      <c r="C247" s="106"/>
      <c r="D247" s="10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</row>
    <row r="248" spans="1:97" s="7" customFormat="1" ht="13.2" x14ac:dyDescent="0.25">
      <c r="A248" s="283"/>
      <c r="C248" s="106"/>
      <c r="D248" s="107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</row>
    <row r="249" spans="1:97" s="7" customFormat="1" ht="13.2" x14ac:dyDescent="0.25">
      <c r="A249" s="283"/>
      <c r="C249" s="106"/>
      <c r="D249" s="107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</row>
    <row r="250" spans="1:97" s="7" customFormat="1" ht="13.2" x14ac:dyDescent="0.25">
      <c r="A250" s="283"/>
      <c r="C250" s="106"/>
      <c r="D250" s="107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</row>
    <row r="251" spans="1:97" s="7" customFormat="1" ht="13.2" x14ac:dyDescent="0.25">
      <c r="A251" s="283"/>
      <c r="C251" s="106"/>
      <c r="D251" s="107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</row>
    <row r="252" spans="1:97" s="7" customFormat="1" ht="13.2" x14ac:dyDescent="0.25">
      <c r="A252" s="283"/>
      <c r="C252" s="106"/>
      <c r="D252" s="107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</row>
    <row r="253" spans="1:97" s="7" customFormat="1" ht="13.2" x14ac:dyDescent="0.25">
      <c r="A253" s="283"/>
      <c r="C253" s="106"/>
      <c r="D253" s="107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</row>
    <row r="254" spans="1:97" s="7" customFormat="1" ht="13.2" x14ac:dyDescent="0.25">
      <c r="A254" s="283"/>
      <c r="C254" s="106"/>
      <c r="D254" s="107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</row>
    <row r="255" spans="1:97" s="7" customFormat="1" ht="13.2" x14ac:dyDescent="0.25">
      <c r="A255" s="283"/>
      <c r="C255" s="106"/>
      <c r="D255" s="107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</row>
    <row r="256" spans="1:97" s="7" customFormat="1" ht="13.2" x14ac:dyDescent="0.25">
      <c r="A256" s="283"/>
      <c r="C256" s="106"/>
      <c r="D256" s="107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</row>
    <row r="257" spans="1:97" s="7" customFormat="1" ht="13.2" x14ac:dyDescent="0.25">
      <c r="A257" s="283"/>
      <c r="C257" s="106"/>
      <c r="D257" s="10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</row>
    <row r="258" spans="1:97" s="7" customFormat="1" ht="13.2" x14ac:dyDescent="0.25">
      <c r="A258" s="283"/>
      <c r="C258" s="106"/>
      <c r="D258" s="107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</row>
    <row r="259" spans="1:97" s="7" customFormat="1" ht="13.2" x14ac:dyDescent="0.25">
      <c r="A259" s="283"/>
      <c r="C259" s="106"/>
      <c r="D259" s="107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</row>
    <row r="260" spans="1:97" s="7" customFormat="1" ht="13.2" x14ac:dyDescent="0.25">
      <c r="A260" s="283"/>
      <c r="C260" s="106"/>
      <c r="D260" s="107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</row>
    <row r="261" spans="1:97" s="7" customFormat="1" ht="13.2" x14ac:dyDescent="0.25">
      <c r="A261" s="283"/>
      <c r="C261" s="106"/>
      <c r="D261" s="107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</row>
    <row r="262" spans="1:97" s="7" customFormat="1" ht="13.2" x14ac:dyDescent="0.25">
      <c r="A262" s="283"/>
      <c r="C262" s="106"/>
      <c r="D262" s="107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</row>
    <row r="263" spans="1:97" s="7" customFormat="1" ht="13.2" x14ac:dyDescent="0.25">
      <c r="A263" s="283"/>
      <c r="C263" s="106"/>
      <c r="D263" s="107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</row>
    <row r="264" spans="1:97" s="7" customFormat="1" ht="13.2" x14ac:dyDescent="0.25">
      <c r="A264" s="283"/>
      <c r="C264" s="106"/>
      <c r="D264" s="107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</row>
    <row r="265" spans="1:97" s="7" customFormat="1" ht="13.2" x14ac:dyDescent="0.25">
      <c r="A265" s="283"/>
      <c r="C265" s="106"/>
      <c r="D265" s="107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</row>
    <row r="266" spans="1:97" s="7" customFormat="1" ht="13.2" x14ac:dyDescent="0.25">
      <c r="A266" s="283"/>
      <c r="C266" s="106"/>
      <c r="D266" s="107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</row>
    <row r="267" spans="1:97" s="7" customFormat="1" ht="13.2" x14ac:dyDescent="0.25">
      <c r="A267" s="283"/>
      <c r="C267" s="106"/>
      <c r="D267" s="10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</row>
    <row r="268" spans="1:97" s="7" customFormat="1" ht="13.2" x14ac:dyDescent="0.25">
      <c r="A268" s="283"/>
      <c r="C268" s="106"/>
      <c r="D268" s="107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</row>
    <row r="269" spans="1:97" s="7" customFormat="1" ht="13.2" x14ac:dyDescent="0.25">
      <c r="A269" s="283"/>
      <c r="C269" s="106"/>
      <c r="D269" s="107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</row>
    <row r="270" spans="1:97" s="7" customFormat="1" ht="13.2" x14ac:dyDescent="0.25">
      <c r="A270" s="283"/>
      <c r="C270" s="106"/>
      <c r="D270" s="107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</row>
    <row r="271" spans="1:97" s="7" customFormat="1" ht="13.2" x14ac:dyDescent="0.25">
      <c r="A271" s="283"/>
      <c r="C271" s="106"/>
      <c r="D271" s="107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</row>
    <row r="272" spans="1:97" s="7" customFormat="1" ht="13.2" x14ac:dyDescent="0.25">
      <c r="A272" s="283"/>
      <c r="C272" s="106"/>
      <c r="D272" s="107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</row>
    <row r="273" spans="1:97" s="7" customFormat="1" ht="13.2" x14ac:dyDescent="0.25">
      <c r="A273" s="283"/>
      <c r="C273" s="106"/>
      <c r="D273" s="107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</row>
    <row r="274" spans="1:97" s="7" customFormat="1" ht="13.2" x14ac:dyDescent="0.25">
      <c r="A274" s="283"/>
      <c r="C274" s="106"/>
      <c r="D274" s="107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</row>
    <row r="275" spans="1:97" s="7" customFormat="1" ht="13.2" x14ac:dyDescent="0.25">
      <c r="A275" s="283"/>
      <c r="C275" s="106"/>
      <c r="D275" s="107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</row>
    <row r="276" spans="1:97" s="7" customFormat="1" ht="13.2" x14ac:dyDescent="0.25">
      <c r="A276" s="283"/>
      <c r="C276" s="106"/>
      <c r="D276" s="107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</row>
    <row r="277" spans="1:97" s="7" customFormat="1" ht="13.2" x14ac:dyDescent="0.25">
      <c r="A277" s="283"/>
      <c r="C277" s="106"/>
      <c r="D277" s="10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</row>
    <row r="278" spans="1:97" s="7" customFormat="1" ht="13.2" x14ac:dyDescent="0.25">
      <c r="A278" s="283"/>
      <c r="C278" s="106"/>
      <c r="D278" s="107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</row>
    <row r="279" spans="1:97" s="7" customFormat="1" ht="13.2" x14ac:dyDescent="0.25">
      <c r="A279" s="283"/>
      <c r="C279" s="106"/>
      <c r="D279" s="107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</row>
    <row r="280" spans="1:97" s="7" customFormat="1" ht="13.2" x14ac:dyDescent="0.25">
      <c r="A280" s="283"/>
      <c r="C280" s="106"/>
      <c r="D280" s="107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</row>
    <row r="281" spans="1:97" s="7" customFormat="1" ht="13.2" x14ac:dyDescent="0.25">
      <c r="A281" s="283"/>
      <c r="C281" s="106"/>
      <c r="D281" s="107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</row>
    <row r="282" spans="1:97" s="7" customFormat="1" ht="13.2" x14ac:dyDescent="0.25">
      <c r="A282" s="283"/>
      <c r="C282" s="106"/>
      <c r="D282" s="107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</row>
    <row r="283" spans="1:97" s="7" customFormat="1" ht="13.2" x14ac:dyDescent="0.25">
      <c r="A283" s="283"/>
      <c r="C283" s="106"/>
      <c r="D283" s="107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</row>
    <row r="284" spans="1:97" s="7" customFormat="1" ht="13.2" x14ac:dyDescent="0.25">
      <c r="A284" s="283"/>
      <c r="C284" s="106"/>
      <c r="D284" s="107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</row>
    <row r="285" spans="1:97" s="7" customFormat="1" ht="13.2" x14ac:dyDescent="0.25">
      <c r="A285" s="283"/>
      <c r="C285" s="106"/>
      <c r="D285" s="107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</row>
    <row r="286" spans="1:97" s="7" customFormat="1" ht="13.2" x14ac:dyDescent="0.25">
      <c r="A286" s="283"/>
      <c r="C286" s="106"/>
      <c r="D286" s="107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</row>
    <row r="287" spans="1:97" s="7" customFormat="1" ht="13.2" x14ac:dyDescent="0.25">
      <c r="A287" s="283"/>
      <c r="C287" s="106"/>
      <c r="D287" s="10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</row>
    <row r="288" spans="1:97" s="7" customFormat="1" ht="13.2" x14ac:dyDescent="0.25">
      <c r="A288" s="283"/>
      <c r="C288" s="106"/>
      <c r="D288" s="107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</row>
    <row r="289" spans="1:97" s="7" customFormat="1" ht="13.2" x14ac:dyDescent="0.25">
      <c r="A289" s="283"/>
      <c r="C289" s="106"/>
      <c r="D289" s="107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</row>
    <row r="290" spans="1:97" s="7" customFormat="1" ht="13.2" x14ac:dyDescent="0.25">
      <c r="A290" s="283"/>
      <c r="C290" s="106"/>
      <c r="D290" s="107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</row>
    <row r="291" spans="1:97" s="7" customFormat="1" ht="13.2" x14ac:dyDescent="0.25">
      <c r="A291" s="283"/>
      <c r="C291" s="106"/>
      <c r="D291" s="107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</row>
    <row r="292" spans="1:97" s="7" customFormat="1" ht="13.2" x14ac:dyDescent="0.25">
      <c r="A292" s="283"/>
      <c r="C292" s="106"/>
      <c r="D292" s="107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</row>
    <row r="293" spans="1:97" s="7" customFormat="1" ht="13.2" x14ac:dyDescent="0.25">
      <c r="A293" s="283"/>
      <c r="C293" s="106"/>
      <c r="D293" s="107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</row>
    <row r="294" spans="1:97" s="7" customFormat="1" ht="13.2" x14ac:dyDescent="0.25">
      <c r="A294" s="283"/>
      <c r="C294" s="106"/>
      <c r="D294" s="107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</row>
    <row r="295" spans="1:97" s="7" customFormat="1" ht="13.2" x14ac:dyDescent="0.25">
      <c r="A295" s="283"/>
      <c r="C295" s="106"/>
      <c r="D295" s="107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</row>
    <row r="296" spans="1:97" s="7" customFormat="1" ht="13.2" x14ac:dyDescent="0.25">
      <c r="A296" s="283"/>
      <c r="C296" s="106"/>
      <c r="D296" s="107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</row>
    <row r="297" spans="1:97" s="7" customFormat="1" ht="13.2" x14ac:dyDescent="0.25">
      <c r="A297" s="283"/>
      <c r="C297" s="106"/>
      <c r="D297" s="10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</row>
    <row r="298" spans="1:97" s="7" customFormat="1" ht="13.2" x14ac:dyDescent="0.25">
      <c r="A298" s="283"/>
      <c r="C298" s="106"/>
      <c r="D298" s="107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</row>
    <row r="299" spans="1:97" s="7" customFormat="1" ht="13.2" x14ac:dyDescent="0.25">
      <c r="A299" s="283"/>
      <c r="C299" s="106"/>
      <c r="D299" s="107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</row>
    <row r="300" spans="1:97" s="7" customFormat="1" ht="13.2" x14ac:dyDescent="0.25">
      <c r="A300" s="283"/>
      <c r="C300" s="106"/>
      <c r="D300" s="107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</row>
    <row r="301" spans="1:97" s="7" customFormat="1" ht="13.2" x14ac:dyDescent="0.25">
      <c r="A301" s="283"/>
      <c r="C301" s="106"/>
      <c r="D301" s="107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</row>
    <row r="302" spans="1:97" s="7" customFormat="1" ht="13.2" x14ac:dyDescent="0.25">
      <c r="A302" s="283"/>
      <c r="C302" s="106"/>
      <c r="D302" s="107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</row>
    <row r="303" spans="1:97" s="7" customFormat="1" ht="13.2" x14ac:dyDescent="0.25">
      <c r="A303" s="283"/>
      <c r="C303" s="106"/>
      <c r="D303" s="107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</row>
    <row r="304" spans="1:97" s="7" customFormat="1" ht="13.2" x14ac:dyDescent="0.25">
      <c r="A304" s="283"/>
      <c r="C304" s="106"/>
      <c r="D304" s="107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</row>
    <row r="305" spans="1:97" s="7" customFormat="1" ht="13.2" x14ac:dyDescent="0.25">
      <c r="A305" s="283"/>
      <c r="C305" s="106"/>
      <c r="D305" s="107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</row>
    <row r="306" spans="1:97" s="7" customFormat="1" ht="13.2" x14ac:dyDescent="0.25">
      <c r="A306" s="283"/>
      <c r="C306" s="106"/>
      <c r="D306" s="107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</row>
    <row r="307" spans="1:97" s="7" customFormat="1" ht="13.2" x14ac:dyDescent="0.25">
      <c r="A307" s="283"/>
      <c r="C307" s="106"/>
      <c r="D307" s="1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</row>
    <row r="308" spans="1:97" s="7" customFormat="1" ht="13.2" x14ac:dyDescent="0.25">
      <c r="A308" s="283"/>
      <c r="C308" s="106"/>
      <c r="D308" s="107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</row>
    <row r="309" spans="1:97" s="7" customFormat="1" ht="13.2" x14ac:dyDescent="0.25">
      <c r="A309" s="283"/>
      <c r="C309" s="106"/>
      <c r="D309" s="107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</row>
    <row r="310" spans="1:97" s="7" customFormat="1" ht="13.2" x14ac:dyDescent="0.25">
      <c r="A310" s="283"/>
      <c r="C310" s="106"/>
      <c r="D310" s="107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</row>
    <row r="311" spans="1:97" s="7" customFormat="1" ht="13.2" x14ac:dyDescent="0.25">
      <c r="A311" s="283"/>
      <c r="C311" s="106"/>
      <c r="D311" s="107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</row>
    <row r="312" spans="1:97" s="7" customFormat="1" ht="13.2" x14ac:dyDescent="0.25">
      <c r="A312" s="283"/>
      <c r="C312" s="106"/>
      <c r="D312" s="107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</row>
    <row r="313" spans="1:97" s="7" customFormat="1" ht="13.2" x14ac:dyDescent="0.25">
      <c r="A313" s="283"/>
      <c r="C313" s="106"/>
      <c r="D313" s="107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</row>
    <row r="314" spans="1:97" s="7" customFormat="1" ht="13.2" x14ac:dyDescent="0.25">
      <c r="A314" s="283"/>
      <c r="C314" s="106"/>
      <c r="D314" s="107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</row>
    <row r="315" spans="1:97" s="7" customFormat="1" ht="13.2" x14ac:dyDescent="0.25">
      <c r="A315" s="283"/>
      <c r="C315" s="106"/>
      <c r="D315" s="107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</row>
    <row r="316" spans="1:97" s="7" customFormat="1" ht="13.2" x14ac:dyDescent="0.25">
      <c r="A316" s="283"/>
      <c r="C316" s="106"/>
      <c r="D316" s="107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</row>
    <row r="317" spans="1:97" s="7" customFormat="1" ht="13.2" x14ac:dyDescent="0.25">
      <c r="A317" s="283"/>
      <c r="C317" s="106"/>
      <c r="D317" s="10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</row>
    <row r="318" spans="1:97" s="7" customFormat="1" ht="13.2" x14ac:dyDescent="0.25">
      <c r="A318" s="283"/>
      <c r="C318" s="106"/>
      <c r="D318" s="107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</row>
    <row r="319" spans="1:97" s="7" customFormat="1" ht="13.2" x14ac:dyDescent="0.25">
      <c r="A319" s="283"/>
      <c r="C319" s="106"/>
      <c r="D319" s="107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</row>
    <row r="320" spans="1:97" s="7" customFormat="1" ht="13.2" x14ac:dyDescent="0.25">
      <c r="A320" s="283"/>
      <c r="C320" s="106"/>
      <c r="D320" s="107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</row>
    <row r="321" spans="1:97" s="7" customFormat="1" ht="13.2" x14ac:dyDescent="0.25">
      <c r="A321" s="283"/>
      <c r="C321" s="106"/>
      <c r="D321" s="107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</row>
    <row r="322" spans="1:97" s="7" customFormat="1" ht="13.2" x14ac:dyDescent="0.25">
      <c r="A322" s="283"/>
      <c r="C322" s="106"/>
      <c r="D322" s="107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</row>
    <row r="323" spans="1:97" s="7" customFormat="1" ht="13.2" x14ac:dyDescent="0.25">
      <c r="A323" s="283"/>
      <c r="C323" s="106"/>
      <c r="D323" s="107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</row>
    <row r="324" spans="1:97" s="7" customFormat="1" ht="13.2" x14ac:dyDescent="0.25">
      <c r="A324" s="283"/>
      <c r="C324" s="106"/>
      <c r="D324" s="107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</row>
    <row r="325" spans="1:97" s="7" customFormat="1" ht="13.2" x14ac:dyDescent="0.25">
      <c r="A325" s="283"/>
      <c r="C325" s="106"/>
      <c r="D325" s="107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</row>
    <row r="326" spans="1:97" s="7" customFormat="1" ht="13.2" x14ac:dyDescent="0.25">
      <c r="A326" s="283"/>
      <c r="C326" s="106"/>
      <c r="D326" s="107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</row>
    <row r="327" spans="1:97" s="7" customFormat="1" ht="13.2" x14ac:dyDescent="0.25">
      <c r="A327" s="283"/>
      <c r="C327" s="106"/>
      <c r="D327" s="10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</row>
    <row r="328" spans="1:97" s="7" customFormat="1" ht="13.2" x14ac:dyDescent="0.25">
      <c r="A328" s="283"/>
      <c r="C328" s="106"/>
      <c r="D328" s="107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</row>
    <row r="329" spans="1:97" s="7" customFormat="1" ht="13.2" x14ac:dyDescent="0.25">
      <c r="A329" s="283"/>
      <c r="C329" s="106"/>
      <c r="D329" s="107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</row>
    <row r="330" spans="1:97" s="7" customFormat="1" ht="13.2" x14ac:dyDescent="0.25">
      <c r="A330" s="283"/>
      <c r="C330" s="106"/>
      <c r="D330" s="107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</row>
    <row r="331" spans="1:97" s="7" customFormat="1" ht="13.2" x14ac:dyDescent="0.25">
      <c r="A331" s="283"/>
      <c r="C331" s="106"/>
      <c r="D331" s="107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</row>
    <row r="332" spans="1:97" s="7" customFormat="1" ht="13.2" x14ac:dyDescent="0.25">
      <c r="A332" s="283"/>
      <c r="C332" s="106"/>
      <c r="D332" s="107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</row>
    <row r="333" spans="1:97" s="7" customFormat="1" ht="13.2" x14ac:dyDescent="0.25">
      <c r="A333" s="283"/>
      <c r="C333" s="106"/>
      <c r="D333" s="107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</row>
    <row r="334" spans="1:97" s="7" customFormat="1" ht="13.2" x14ac:dyDescent="0.25">
      <c r="A334" s="283"/>
      <c r="C334" s="106"/>
      <c r="D334" s="107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</row>
    <row r="335" spans="1:97" s="7" customFormat="1" ht="13.2" x14ac:dyDescent="0.25">
      <c r="A335" s="283"/>
      <c r="C335" s="106"/>
      <c r="D335" s="107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</row>
    <row r="336" spans="1:97" s="7" customFormat="1" ht="13.2" x14ac:dyDescent="0.25">
      <c r="A336" s="283"/>
      <c r="C336" s="106"/>
      <c r="D336" s="107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</row>
    <row r="337" spans="1:97" s="7" customFormat="1" ht="13.2" x14ac:dyDescent="0.25">
      <c r="A337" s="283"/>
      <c r="C337" s="106"/>
      <c r="D337" s="10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</row>
    <row r="338" spans="1:97" s="7" customFormat="1" ht="13.2" x14ac:dyDescent="0.25">
      <c r="A338" s="283"/>
      <c r="C338" s="106"/>
      <c r="D338" s="107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</row>
    <row r="339" spans="1:97" s="7" customFormat="1" ht="13.2" x14ac:dyDescent="0.25">
      <c r="A339" s="283"/>
      <c r="C339" s="106"/>
      <c r="D339" s="107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</row>
    <row r="340" spans="1:97" s="7" customFormat="1" ht="13.2" x14ac:dyDescent="0.25">
      <c r="A340" s="283"/>
      <c r="C340" s="106"/>
      <c r="D340" s="107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</row>
    <row r="341" spans="1:97" s="7" customFormat="1" ht="13.2" x14ac:dyDescent="0.25">
      <c r="A341" s="283"/>
      <c r="C341" s="106"/>
      <c r="D341" s="107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</row>
    <row r="342" spans="1:97" s="7" customFormat="1" ht="13.2" x14ac:dyDescent="0.25">
      <c r="A342" s="283"/>
      <c r="C342" s="106"/>
      <c r="D342" s="107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</row>
    <row r="343" spans="1:97" s="7" customFormat="1" ht="13.2" x14ac:dyDescent="0.25">
      <c r="A343" s="283"/>
      <c r="C343" s="106"/>
      <c r="D343" s="107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</row>
    <row r="344" spans="1:97" s="7" customFormat="1" ht="13.2" x14ac:dyDescent="0.25">
      <c r="A344" s="283"/>
      <c r="C344" s="106"/>
      <c r="D344" s="107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</row>
    <row r="345" spans="1:97" s="7" customFormat="1" ht="13.2" x14ac:dyDescent="0.25">
      <c r="A345" s="283"/>
      <c r="C345" s="106"/>
      <c r="D345" s="107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</row>
    <row r="346" spans="1:97" s="7" customFormat="1" ht="13.2" x14ac:dyDescent="0.25">
      <c r="A346" s="283"/>
      <c r="C346" s="106"/>
      <c r="D346" s="107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</row>
    <row r="347" spans="1:97" s="7" customFormat="1" ht="13.2" x14ac:dyDescent="0.25">
      <c r="A347" s="283"/>
      <c r="C347" s="106"/>
      <c r="D347" s="10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</row>
    <row r="348" spans="1:97" s="7" customFormat="1" ht="13.2" x14ac:dyDescent="0.25">
      <c r="A348" s="283"/>
      <c r="C348" s="106"/>
      <c r="D348" s="107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</row>
    <row r="349" spans="1:97" s="7" customFormat="1" ht="13.2" x14ac:dyDescent="0.25">
      <c r="A349" s="283"/>
      <c r="C349" s="106"/>
      <c r="D349" s="107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</row>
    <row r="350" spans="1:97" s="7" customFormat="1" ht="13.2" x14ac:dyDescent="0.25">
      <c r="A350" s="283"/>
      <c r="C350" s="106"/>
      <c r="D350" s="107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</row>
    <row r="351" spans="1:97" s="7" customFormat="1" ht="13.2" x14ac:dyDescent="0.25">
      <c r="A351" s="283"/>
      <c r="C351" s="106"/>
      <c r="D351" s="107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</row>
    <row r="352" spans="1:97" s="7" customFormat="1" ht="13.2" x14ac:dyDescent="0.25">
      <c r="A352" s="283"/>
      <c r="C352" s="106"/>
      <c r="D352" s="107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</row>
    <row r="353" spans="1:97" s="7" customFormat="1" ht="13.2" x14ac:dyDescent="0.25">
      <c r="A353" s="283"/>
      <c r="C353" s="106"/>
      <c r="D353" s="107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</row>
    <row r="354" spans="1:97" s="7" customFormat="1" ht="13.2" x14ac:dyDescent="0.25">
      <c r="A354" s="283"/>
      <c r="C354" s="106"/>
      <c r="D354" s="107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</row>
    <row r="355" spans="1:97" s="7" customFormat="1" ht="13.2" x14ac:dyDescent="0.25">
      <c r="A355" s="283"/>
      <c r="C355" s="106"/>
      <c r="D355" s="107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</row>
    <row r="356" spans="1:97" s="7" customFormat="1" ht="13.2" x14ac:dyDescent="0.25">
      <c r="A356" s="283"/>
      <c r="C356" s="106"/>
      <c r="D356" s="107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</row>
    <row r="357" spans="1:97" s="7" customFormat="1" ht="13.2" x14ac:dyDescent="0.25">
      <c r="A357" s="283"/>
      <c r="C357" s="106"/>
      <c r="D357" s="10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</row>
    <row r="358" spans="1:97" s="7" customFormat="1" ht="13.2" x14ac:dyDescent="0.25">
      <c r="A358" s="283"/>
      <c r="C358" s="106"/>
      <c r="D358" s="107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</row>
    <row r="359" spans="1:97" s="7" customFormat="1" ht="13.2" x14ac:dyDescent="0.25">
      <c r="A359" s="283"/>
      <c r="C359" s="106"/>
      <c r="D359" s="107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</row>
    <row r="360" spans="1:97" s="7" customFormat="1" ht="13.2" x14ac:dyDescent="0.25">
      <c r="A360" s="283"/>
      <c r="C360" s="106"/>
      <c r="D360" s="107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</row>
    <row r="361" spans="1:97" s="7" customFormat="1" ht="13.2" x14ac:dyDescent="0.25">
      <c r="A361" s="283"/>
      <c r="C361" s="106"/>
      <c r="D361" s="107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</row>
    <row r="362" spans="1:97" s="7" customFormat="1" ht="13.2" x14ac:dyDescent="0.25">
      <c r="A362" s="283"/>
      <c r="C362" s="106"/>
      <c r="D362" s="107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</row>
    <row r="363" spans="1:97" s="7" customFormat="1" ht="13.2" x14ac:dyDescent="0.25">
      <c r="A363" s="283"/>
      <c r="C363" s="106"/>
      <c r="D363" s="107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</row>
    <row r="364" spans="1:97" s="7" customFormat="1" ht="13.2" x14ac:dyDescent="0.25">
      <c r="A364" s="283"/>
      <c r="C364" s="106"/>
      <c r="D364" s="107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</row>
    <row r="365" spans="1:97" s="7" customFormat="1" ht="13.2" x14ac:dyDescent="0.25">
      <c r="A365" s="283"/>
      <c r="C365" s="106"/>
      <c r="D365" s="107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</row>
    <row r="366" spans="1:97" s="7" customFormat="1" ht="13.2" x14ac:dyDescent="0.25">
      <c r="A366" s="283"/>
      <c r="C366" s="106"/>
      <c r="D366" s="107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</row>
    <row r="367" spans="1:97" s="7" customFormat="1" ht="13.2" x14ac:dyDescent="0.25">
      <c r="A367" s="283"/>
      <c r="C367" s="106"/>
      <c r="D367" s="10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</row>
    <row r="368" spans="1:97" s="7" customFormat="1" ht="13.2" x14ac:dyDescent="0.25">
      <c r="A368" s="283"/>
      <c r="C368" s="106"/>
      <c r="D368" s="107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</row>
    <row r="369" spans="1:97" s="7" customFormat="1" ht="13.2" x14ac:dyDescent="0.25">
      <c r="A369" s="283"/>
      <c r="C369" s="106"/>
      <c r="D369" s="107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</row>
    <row r="370" spans="1:97" s="7" customFormat="1" ht="13.2" x14ac:dyDescent="0.25">
      <c r="A370" s="283"/>
      <c r="C370" s="106"/>
      <c r="D370" s="107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</row>
    <row r="371" spans="1:97" s="7" customFormat="1" ht="13.2" x14ac:dyDescent="0.25">
      <c r="A371" s="283"/>
      <c r="C371" s="106"/>
      <c r="D371" s="107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</row>
    <row r="372" spans="1:97" s="7" customFormat="1" ht="13.2" x14ac:dyDescent="0.25">
      <c r="A372" s="283"/>
      <c r="C372" s="106"/>
      <c r="D372" s="107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</row>
    <row r="373" spans="1:97" s="7" customFormat="1" ht="13.2" x14ac:dyDescent="0.25">
      <c r="A373" s="283"/>
      <c r="C373" s="106"/>
      <c r="D373" s="107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</row>
    <row r="374" spans="1:97" s="7" customFormat="1" ht="13.2" x14ac:dyDescent="0.25">
      <c r="A374" s="283"/>
      <c r="C374" s="106"/>
      <c r="D374" s="107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</row>
    <row r="375" spans="1:97" s="7" customFormat="1" ht="13.2" x14ac:dyDescent="0.25">
      <c r="A375" s="283"/>
      <c r="C375" s="106"/>
      <c r="D375" s="107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</row>
    <row r="376" spans="1:97" s="7" customFormat="1" ht="13.2" x14ac:dyDescent="0.25">
      <c r="A376" s="283"/>
      <c r="C376" s="106"/>
      <c r="D376" s="107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</row>
    <row r="377" spans="1:97" s="7" customFormat="1" ht="13.2" x14ac:dyDescent="0.25">
      <c r="A377" s="283"/>
      <c r="C377" s="106"/>
      <c r="D377" s="10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</row>
    <row r="378" spans="1:97" s="7" customFormat="1" ht="13.2" x14ac:dyDescent="0.25">
      <c r="A378" s="283"/>
      <c r="C378" s="106"/>
      <c r="D378" s="107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</row>
    <row r="379" spans="1:97" s="7" customFormat="1" ht="13.2" x14ac:dyDescent="0.25">
      <c r="A379" s="283"/>
      <c r="C379" s="106"/>
      <c r="D379" s="107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</row>
    <row r="380" spans="1:97" s="7" customFormat="1" ht="13.2" x14ac:dyDescent="0.25">
      <c r="A380" s="283"/>
      <c r="C380" s="106"/>
      <c r="D380" s="107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</row>
    <row r="381" spans="1:97" s="7" customFormat="1" ht="13.2" x14ac:dyDescent="0.25">
      <c r="A381" s="283"/>
      <c r="C381" s="106"/>
      <c r="D381" s="107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</row>
    <row r="382" spans="1:97" s="7" customFormat="1" ht="13.2" x14ac:dyDescent="0.25">
      <c r="A382" s="283"/>
      <c r="C382" s="106"/>
      <c r="D382" s="107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</row>
    <row r="383" spans="1:97" s="7" customFormat="1" ht="13.2" x14ac:dyDescent="0.25">
      <c r="A383" s="283"/>
      <c r="C383" s="106"/>
      <c r="D383" s="107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</row>
    <row r="384" spans="1:97" s="7" customFormat="1" ht="13.2" x14ac:dyDescent="0.25">
      <c r="A384" s="283"/>
      <c r="C384" s="106"/>
      <c r="D384" s="107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</row>
    <row r="385" spans="1:97" s="7" customFormat="1" ht="13.2" x14ac:dyDescent="0.25">
      <c r="A385" s="283"/>
      <c r="C385" s="106"/>
      <c r="D385" s="107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</row>
    <row r="386" spans="1:97" s="7" customFormat="1" ht="13.2" x14ac:dyDescent="0.25">
      <c r="A386" s="283"/>
      <c r="C386" s="106"/>
      <c r="D386" s="107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</row>
    <row r="387" spans="1:97" s="7" customFormat="1" ht="13.2" x14ac:dyDescent="0.25">
      <c r="A387" s="283"/>
      <c r="C387" s="106"/>
      <c r="D387" s="10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</row>
    <row r="388" spans="1:97" s="7" customFormat="1" ht="13.2" x14ac:dyDescent="0.25">
      <c r="A388" s="283"/>
      <c r="C388" s="106"/>
      <c r="D388" s="107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</row>
    <row r="389" spans="1:97" s="7" customFormat="1" ht="13.2" x14ac:dyDescent="0.25">
      <c r="A389" s="283"/>
      <c r="C389" s="106"/>
      <c r="D389" s="107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</row>
    <row r="390" spans="1:97" s="7" customFormat="1" ht="13.2" x14ac:dyDescent="0.25">
      <c r="A390" s="283"/>
      <c r="C390" s="106"/>
      <c r="D390" s="107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</row>
    <row r="391" spans="1:97" s="7" customFormat="1" ht="13.2" x14ac:dyDescent="0.25">
      <c r="A391" s="283"/>
      <c r="C391" s="106"/>
      <c r="D391" s="107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</row>
    <row r="392" spans="1:97" s="7" customFormat="1" ht="13.2" x14ac:dyDescent="0.25">
      <c r="A392" s="283"/>
      <c r="C392" s="106"/>
      <c r="D392" s="107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</row>
    <row r="393" spans="1:97" s="7" customFormat="1" ht="13.2" x14ac:dyDescent="0.25">
      <c r="A393" s="283"/>
      <c r="C393" s="106"/>
      <c r="D393" s="107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</row>
    <row r="394" spans="1:97" s="7" customFormat="1" ht="13.2" x14ac:dyDescent="0.25">
      <c r="A394" s="283"/>
      <c r="C394" s="106"/>
      <c r="D394" s="107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</row>
    <row r="395" spans="1:97" s="7" customFormat="1" ht="13.2" x14ac:dyDescent="0.25">
      <c r="A395" s="283"/>
      <c r="C395" s="106"/>
      <c r="D395" s="107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</row>
    <row r="396" spans="1:97" s="7" customFormat="1" ht="13.2" x14ac:dyDescent="0.25">
      <c r="A396" s="283"/>
      <c r="C396" s="106"/>
      <c r="D396" s="107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</row>
    <row r="397" spans="1:97" s="7" customFormat="1" ht="13.2" x14ac:dyDescent="0.25">
      <c r="A397" s="283"/>
      <c r="C397" s="106"/>
      <c r="D397" s="10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</row>
    <row r="398" spans="1:97" s="7" customFormat="1" ht="13.2" x14ac:dyDescent="0.25">
      <c r="A398" s="283"/>
      <c r="C398" s="106"/>
      <c r="D398" s="107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</row>
    <row r="399" spans="1:97" s="7" customFormat="1" ht="13.2" x14ac:dyDescent="0.25">
      <c r="A399" s="283"/>
      <c r="C399" s="106"/>
      <c r="D399" s="107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</row>
    <row r="400" spans="1:97" s="7" customFormat="1" ht="13.2" x14ac:dyDescent="0.25">
      <c r="A400" s="283"/>
      <c r="C400" s="106"/>
      <c r="D400" s="107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</row>
    <row r="401" spans="1:97" s="7" customFormat="1" ht="13.2" x14ac:dyDescent="0.25">
      <c r="A401" s="283"/>
      <c r="C401" s="106"/>
      <c r="D401" s="107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</row>
    <row r="402" spans="1:97" s="7" customFormat="1" ht="13.2" x14ac:dyDescent="0.25">
      <c r="A402" s="283"/>
      <c r="C402" s="106"/>
      <c r="D402" s="107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</row>
    <row r="403" spans="1:97" s="7" customFormat="1" ht="13.2" x14ac:dyDescent="0.25">
      <c r="A403" s="283"/>
      <c r="C403" s="106"/>
      <c r="D403" s="107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</row>
    <row r="404" spans="1:97" s="7" customFormat="1" ht="13.2" x14ac:dyDescent="0.25">
      <c r="A404" s="283"/>
      <c r="C404" s="106"/>
      <c r="D404" s="107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</row>
    <row r="405" spans="1:97" s="7" customFormat="1" ht="13.2" x14ac:dyDescent="0.25">
      <c r="A405" s="283"/>
      <c r="C405" s="106"/>
      <c r="D405" s="107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</row>
    <row r="406" spans="1:97" s="7" customFormat="1" ht="13.2" x14ac:dyDescent="0.25">
      <c r="A406" s="283"/>
      <c r="C406" s="106"/>
      <c r="D406" s="107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</row>
    <row r="407" spans="1:97" s="7" customFormat="1" ht="13.2" x14ac:dyDescent="0.25">
      <c r="A407" s="283"/>
      <c r="C407" s="106"/>
      <c r="D407" s="1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</row>
    <row r="408" spans="1:97" s="7" customFormat="1" ht="13.2" x14ac:dyDescent="0.25">
      <c r="A408" s="283"/>
      <c r="C408" s="106"/>
      <c r="D408" s="107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</row>
    <row r="409" spans="1:97" s="7" customFormat="1" ht="13.2" x14ac:dyDescent="0.25">
      <c r="A409" s="283"/>
      <c r="C409" s="106"/>
      <c r="D409" s="107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</row>
    <row r="410" spans="1:97" s="7" customFormat="1" ht="13.2" x14ac:dyDescent="0.25">
      <c r="A410" s="283"/>
      <c r="C410" s="106"/>
      <c r="D410" s="107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</row>
    <row r="411" spans="1:97" s="7" customFormat="1" ht="13.2" x14ac:dyDescent="0.25">
      <c r="A411" s="283"/>
      <c r="C411" s="106"/>
      <c r="D411" s="107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</row>
    <row r="412" spans="1:97" s="7" customFormat="1" ht="13.2" x14ac:dyDescent="0.25">
      <c r="A412" s="283"/>
      <c r="C412" s="106"/>
      <c r="D412" s="107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</row>
    <row r="413" spans="1:97" s="7" customFormat="1" ht="13.2" x14ac:dyDescent="0.25">
      <c r="A413" s="283"/>
      <c r="C413" s="106"/>
      <c r="D413" s="107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</row>
    <row r="414" spans="1:97" s="7" customFormat="1" ht="13.2" x14ac:dyDescent="0.25">
      <c r="A414" s="283"/>
      <c r="C414" s="106"/>
      <c r="D414" s="107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</row>
    <row r="415" spans="1:97" s="7" customFormat="1" ht="13.2" x14ac:dyDescent="0.25">
      <c r="A415" s="283"/>
      <c r="C415" s="106"/>
      <c r="D415" s="107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</row>
    <row r="416" spans="1:97" s="7" customFormat="1" ht="13.2" x14ac:dyDescent="0.25">
      <c r="A416" s="283"/>
      <c r="C416" s="106"/>
      <c r="D416" s="107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</row>
    <row r="417" spans="1:97" s="7" customFormat="1" ht="13.2" x14ac:dyDescent="0.25">
      <c r="A417" s="283"/>
      <c r="C417" s="106"/>
      <c r="D417" s="10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</row>
    <row r="418" spans="1:97" s="7" customFormat="1" ht="13.2" x14ac:dyDescent="0.25">
      <c r="A418" s="283"/>
      <c r="C418" s="106"/>
      <c r="D418" s="107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</row>
    <row r="419" spans="1:97" s="7" customFormat="1" ht="13.2" x14ac:dyDescent="0.25">
      <c r="A419" s="283"/>
      <c r="C419" s="106"/>
      <c r="D419" s="107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</row>
    <row r="420" spans="1:97" s="7" customFormat="1" ht="13.2" x14ac:dyDescent="0.25">
      <c r="A420" s="283"/>
      <c r="C420" s="106"/>
      <c r="D420" s="107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</row>
    <row r="421" spans="1:97" s="7" customFormat="1" ht="13.2" x14ac:dyDescent="0.25">
      <c r="A421" s="283"/>
      <c r="C421" s="106"/>
      <c r="D421" s="107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</row>
    <row r="422" spans="1:97" s="7" customFormat="1" ht="13.2" x14ac:dyDescent="0.25">
      <c r="A422" s="283"/>
      <c r="C422" s="106"/>
      <c r="D422" s="107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</row>
    <row r="423" spans="1:97" s="7" customFormat="1" ht="13.2" x14ac:dyDescent="0.25">
      <c r="A423" s="283"/>
      <c r="C423" s="106"/>
      <c r="D423" s="107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</row>
    <row r="424" spans="1:97" s="7" customFormat="1" ht="13.2" x14ac:dyDescent="0.25">
      <c r="A424" s="283"/>
      <c r="C424" s="106"/>
      <c r="D424" s="107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</row>
    <row r="425" spans="1:97" s="7" customFormat="1" ht="13.2" x14ac:dyDescent="0.25">
      <c r="A425" s="283"/>
      <c r="C425" s="106"/>
      <c r="D425" s="107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</row>
    <row r="426" spans="1:97" s="7" customFormat="1" ht="13.2" x14ac:dyDescent="0.25">
      <c r="A426" s="283"/>
      <c r="C426" s="106"/>
      <c r="D426" s="107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</row>
    <row r="427" spans="1:97" s="7" customFormat="1" ht="13.2" x14ac:dyDescent="0.25">
      <c r="A427" s="283"/>
      <c r="C427" s="106"/>
      <c r="D427" s="10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</row>
    <row r="428" spans="1:97" s="7" customFormat="1" ht="13.2" x14ac:dyDescent="0.25">
      <c r="A428" s="283"/>
      <c r="C428" s="106"/>
      <c r="D428" s="107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</row>
    <row r="429" spans="1:97" s="7" customFormat="1" ht="13.2" x14ac:dyDescent="0.25">
      <c r="A429" s="283"/>
      <c r="C429" s="106"/>
      <c r="D429" s="107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</row>
    <row r="430" spans="1:97" s="7" customFormat="1" ht="13.2" x14ac:dyDescent="0.25">
      <c r="A430" s="283"/>
      <c r="C430" s="106"/>
      <c r="D430" s="107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</row>
    <row r="431" spans="1:97" s="7" customFormat="1" ht="13.2" x14ac:dyDescent="0.25">
      <c r="A431" s="283"/>
      <c r="C431" s="106"/>
      <c r="D431" s="107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</row>
    <row r="432" spans="1:97" s="7" customFormat="1" ht="13.2" x14ac:dyDescent="0.25">
      <c r="A432" s="283"/>
      <c r="C432" s="106"/>
      <c r="D432" s="107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</row>
    <row r="433" spans="1:97" s="7" customFormat="1" ht="13.2" x14ac:dyDescent="0.25">
      <c r="A433" s="283"/>
      <c r="C433" s="106"/>
      <c r="D433" s="107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</row>
    <row r="434" spans="1:97" s="7" customFormat="1" ht="13.2" x14ac:dyDescent="0.25">
      <c r="A434" s="283"/>
      <c r="C434" s="106"/>
      <c r="D434" s="107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</row>
    <row r="435" spans="1:97" s="7" customFormat="1" ht="13.2" x14ac:dyDescent="0.25">
      <c r="A435" s="283"/>
      <c r="C435" s="106"/>
      <c r="D435" s="107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</row>
    <row r="436" spans="1:97" s="7" customFormat="1" ht="13.2" x14ac:dyDescent="0.25">
      <c r="A436" s="283"/>
      <c r="C436" s="106"/>
      <c r="D436" s="107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</row>
    <row r="437" spans="1:97" s="7" customFormat="1" ht="13.2" x14ac:dyDescent="0.25">
      <c r="A437" s="283"/>
      <c r="C437" s="106"/>
      <c r="D437" s="10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</row>
    <row r="438" spans="1:97" s="7" customFormat="1" ht="13.2" x14ac:dyDescent="0.25">
      <c r="A438" s="283"/>
      <c r="C438" s="106"/>
      <c r="D438" s="107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</row>
    <row r="439" spans="1:97" s="7" customFormat="1" ht="13.2" x14ac:dyDescent="0.25">
      <c r="A439" s="283"/>
      <c r="C439" s="106"/>
      <c r="D439" s="107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</row>
    <row r="440" spans="1:97" s="7" customFormat="1" ht="13.2" x14ac:dyDescent="0.25">
      <c r="A440" s="283"/>
      <c r="C440" s="106"/>
      <c r="D440" s="107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</row>
    <row r="441" spans="1:97" s="7" customFormat="1" ht="13.2" x14ac:dyDescent="0.25">
      <c r="A441" s="283"/>
      <c r="C441" s="106"/>
      <c r="D441" s="107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</row>
    <row r="442" spans="1:97" s="7" customFormat="1" ht="13.2" x14ac:dyDescent="0.25">
      <c r="A442" s="283"/>
      <c r="C442" s="106"/>
      <c r="D442" s="107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</row>
    <row r="443" spans="1:97" s="7" customFormat="1" ht="13.2" x14ac:dyDescent="0.25">
      <c r="A443" s="283"/>
      <c r="C443" s="106"/>
      <c r="D443" s="107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</row>
    <row r="444" spans="1:97" s="7" customFormat="1" ht="13.2" x14ac:dyDescent="0.25">
      <c r="A444" s="283"/>
      <c r="C444" s="106"/>
      <c r="D444" s="107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</row>
    <row r="445" spans="1:97" s="7" customFormat="1" ht="13.2" x14ac:dyDescent="0.25">
      <c r="A445" s="283"/>
      <c r="C445" s="106"/>
      <c r="D445" s="107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</row>
    <row r="446" spans="1:97" s="7" customFormat="1" ht="13.2" x14ac:dyDescent="0.25">
      <c r="A446" s="283"/>
      <c r="C446" s="106"/>
      <c r="D446" s="107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</row>
    <row r="447" spans="1:97" s="7" customFormat="1" ht="13.2" x14ac:dyDescent="0.25">
      <c r="A447" s="283"/>
      <c r="C447" s="106"/>
      <c r="D447" s="10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</row>
    <row r="448" spans="1:97" s="7" customFormat="1" ht="13.2" x14ac:dyDescent="0.25">
      <c r="A448" s="283"/>
      <c r="C448" s="106"/>
      <c r="D448" s="107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</row>
    <row r="449" spans="1:97" s="7" customFormat="1" ht="13.2" x14ac:dyDescent="0.25">
      <c r="A449" s="283"/>
      <c r="C449" s="106"/>
      <c r="D449" s="107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</row>
    <row r="450" spans="1:97" s="7" customFormat="1" ht="13.2" x14ac:dyDescent="0.25">
      <c r="A450" s="283"/>
      <c r="C450" s="106"/>
      <c r="D450" s="107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</row>
    <row r="451" spans="1:97" s="7" customFormat="1" ht="13.2" x14ac:dyDescent="0.25">
      <c r="A451" s="283"/>
      <c r="C451" s="106"/>
      <c r="D451" s="107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</row>
    <row r="452" spans="1:97" s="7" customFormat="1" ht="13.2" x14ac:dyDescent="0.25">
      <c r="A452" s="283"/>
      <c r="C452" s="106"/>
      <c r="D452" s="107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</row>
    <row r="453" spans="1:97" s="7" customFormat="1" ht="13.2" x14ac:dyDescent="0.25">
      <c r="A453" s="283"/>
      <c r="C453" s="106"/>
      <c r="D453" s="107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</row>
    <row r="454" spans="1:97" s="7" customFormat="1" ht="13.2" x14ac:dyDescent="0.25">
      <c r="A454" s="283"/>
      <c r="C454" s="106"/>
      <c r="D454" s="107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</row>
    <row r="455" spans="1:97" s="7" customFormat="1" ht="13.2" x14ac:dyDescent="0.25">
      <c r="A455" s="283"/>
      <c r="C455" s="106"/>
      <c r="D455" s="107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</row>
    <row r="456" spans="1:97" s="7" customFormat="1" ht="13.2" x14ac:dyDescent="0.25">
      <c r="A456" s="283"/>
      <c r="C456" s="106"/>
      <c r="D456" s="107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</row>
    <row r="457" spans="1:97" s="7" customFormat="1" ht="13.2" x14ac:dyDescent="0.25">
      <c r="A457" s="283"/>
      <c r="C457" s="106"/>
      <c r="D457" s="10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</row>
    <row r="458" spans="1:97" s="7" customFormat="1" ht="13.2" x14ac:dyDescent="0.25">
      <c r="A458" s="283"/>
      <c r="C458" s="106"/>
      <c r="D458" s="107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</row>
    <row r="459" spans="1:97" s="7" customFormat="1" ht="13.2" x14ac:dyDescent="0.25">
      <c r="A459" s="283"/>
      <c r="C459" s="106"/>
      <c r="D459" s="107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</row>
    <row r="460" spans="1:97" s="7" customFormat="1" ht="13.2" x14ac:dyDescent="0.25">
      <c r="A460" s="283"/>
      <c r="C460" s="106"/>
      <c r="D460" s="107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</row>
    <row r="461" spans="1:97" s="7" customFormat="1" ht="13.2" x14ac:dyDescent="0.25">
      <c r="A461" s="283"/>
      <c r="C461" s="106"/>
      <c r="D461" s="107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</row>
    <row r="462" spans="1:97" s="7" customFormat="1" ht="13.2" x14ac:dyDescent="0.25">
      <c r="A462" s="283"/>
      <c r="C462" s="106"/>
      <c r="D462" s="107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</row>
    <row r="463" spans="1:97" s="7" customFormat="1" ht="13.2" x14ac:dyDescent="0.25">
      <c r="A463" s="283"/>
      <c r="C463" s="106"/>
      <c r="D463" s="107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</row>
    <row r="464" spans="1:97" s="7" customFormat="1" ht="13.2" x14ac:dyDescent="0.25">
      <c r="A464" s="283"/>
      <c r="C464" s="106"/>
      <c r="D464" s="107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</row>
    <row r="465" spans="1:97" s="7" customFormat="1" ht="13.2" x14ac:dyDescent="0.25">
      <c r="A465" s="283"/>
      <c r="C465" s="106"/>
      <c r="D465" s="107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</row>
    <row r="466" spans="1:97" s="7" customFormat="1" ht="13.2" x14ac:dyDescent="0.25">
      <c r="A466" s="283"/>
      <c r="C466" s="106"/>
      <c r="D466" s="107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</row>
    <row r="467" spans="1:97" s="7" customFormat="1" ht="13.2" x14ac:dyDescent="0.25">
      <c r="A467" s="283"/>
      <c r="C467" s="106"/>
      <c r="D467" s="10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</row>
    <row r="468" spans="1:97" s="7" customFormat="1" ht="13.2" x14ac:dyDescent="0.25">
      <c r="A468" s="283"/>
      <c r="C468" s="106"/>
      <c r="D468" s="107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</row>
    <row r="469" spans="1:97" s="7" customFormat="1" ht="13.2" x14ac:dyDescent="0.25">
      <c r="A469" s="283"/>
      <c r="C469" s="106"/>
      <c r="D469" s="107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</row>
    <row r="470" spans="1:97" s="7" customFormat="1" ht="13.2" x14ac:dyDescent="0.25">
      <c r="A470" s="283"/>
      <c r="C470" s="106"/>
      <c r="D470" s="107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</row>
    <row r="471" spans="1:97" s="7" customFormat="1" ht="13.2" x14ac:dyDescent="0.25">
      <c r="A471" s="283"/>
      <c r="C471" s="106"/>
      <c r="D471" s="107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</row>
    <row r="472" spans="1:97" s="7" customFormat="1" ht="13.2" x14ac:dyDescent="0.25">
      <c r="A472" s="283"/>
      <c r="C472" s="106"/>
      <c r="D472" s="107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</row>
    <row r="473" spans="1:97" s="7" customFormat="1" ht="13.2" x14ac:dyDescent="0.25">
      <c r="A473" s="283"/>
      <c r="C473" s="106"/>
      <c r="D473" s="107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</row>
    <row r="474" spans="1:97" s="7" customFormat="1" ht="13.2" x14ac:dyDescent="0.25">
      <c r="A474" s="283"/>
      <c r="C474" s="106"/>
      <c r="D474" s="107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</row>
    <row r="475" spans="1:97" s="7" customFormat="1" ht="13.2" x14ac:dyDescent="0.25">
      <c r="A475" s="283"/>
      <c r="C475" s="106"/>
      <c r="D475" s="107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</row>
    <row r="476" spans="1:97" s="7" customFormat="1" ht="13.2" x14ac:dyDescent="0.25">
      <c r="A476" s="283"/>
      <c r="C476" s="106"/>
      <c r="D476" s="107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</row>
    <row r="477" spans="1:97" s="7" customFormat="1" ht="13.2" x14ac:dyDescent="0.25">
      <c r="A477" s="283"/>
      <c r="C477" s="106"/>
      <c r="D477" s="10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</row>
    <row r="478" spans="1:97" s="7" customFormat="1" ht="13.2" x14ac:dyDescent="0.25">
      <c r="A478" s="283"/>
      <c r="C478" s="106"/>
      <c r="D478" s="107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</row>
    <row r="479" spans="1:97" s="7" customFormat="1" ht="13.2" x14ac:dyDescent="0.25">
      <c r="A479" s="283"/>
      <c r="C479" s="106"/>
      <c r="D479" s="107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</row>
    <row r="480" spans="1:97" s="7" customFormat="1" ht="13.2" x14ac:dyDescent="0.25">
      <c r="A480" s="283"/>
      <c r="C480" s="106"/>
      <c r="D480" s="107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</row>
    <row r="481" spans="1:97" s="7" customFormat="1" ht="13.2" x14ac:dyDescent="0.25">
      <c r="A481" s="283"/>
      <c r="C481" s="106"/>
      <c r="D481" s="107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</row>
    <row r="482" spans="1:97" s="7" customFormat="1" ht="13.2" x14ac:dyDescent="0.25">
      <c r="A482" s="283"/>
      <c r="C482" s="106"/>
      <c r="D482" s="107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</row>
    <row r="483" spans="1:97" s="7" customFormat="1" ht="13.2" x14ac:dyDescent="0.25">
      <c r="A483" s="283"/>
      <c r="C483" s="106"/>
      <c r="D483" s="107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</row>
    <row r="484" spans="1:97" s="7" customFormat="1" ht="13.2" x14ac:dyDescent="0.25">
      <c r="A484" s="283"/>
      <c r="C484" s="106"/>
      <c r="D484" s="107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</row>
    <row r="485" spans="1:97" s="7" customFormat="1" ht="13.2" x14ac:dyDescent="0.25">
      <c r="A485" s="283"/>
      <c r="C485" s="106"/>
      <c r="D485" s="107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</row>
    <row r="486" spans="1:97" s="7" customFormat="1" ht="13.2" x14ac:dyDescent="0.25">
      <c r="A486" s="283"/>
      <c r="C486" s="106"/>
      <c r="D486" s="107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</row>
    <row r="487" spans="1:97" s="7" customFormat="1" ht="13.2" x14ac:dyDescent="0.25">
      <c r="A487" s="283"/>
      <c r="C487" s="106"/>
      <c r="D487" s="10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</row>
    <row r="488" spans="1:97" s="7" customFormat="1" ht="13.2" x14ac:dyDescent="0.25">
      <c r="A488" s="283"/>
      <c r="C488" s="106"/>
      <c r="D488" s="107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</row>
    <row r="489" spans="1:97" s="7" customFormat="1" ht="13.2" x14ac:dyDescent="0.25">
      <c r="A489" s="283"/>
      <c r="C489" s="106"/>
      <c r="D489" s="107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</row>
    <row r="490" spans="1:97" s="7" customFormat="1" ht="13.2" x14ac:dyDescent="0.25">
      <c r="A490" s="283"/>
      <c r="C490" s="106"/>
      <c r="D490" s="107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</row>
    <row r="491" spans="1:97" s="7" customFormat="1" ht="13.2" x14ac:dyDescent="0.25">
      <c r="A491" s="283"/>
      <c r="C491" s="106"/>
      <c r="D491" s="107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</row>
    <row r="492" spans="1:97" s="7" customFormat="1" ht="13.2" x14ac:dyDescent="0.25">
      <c r="A492" s="283"/>
      <c r="C492" s="106"/>
      <c r="D492" s="107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</row>
    <row r="493" spans="1:97" s="7" customFormat="1" ht="13.2" x14ac:dyDescent="0.25">
      <c r="A493" s="283"/>
      <c r="C493" s="106"/>
      <c r="D493" s="107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</row>
    <row r="494" spans="1:97" s="7" customFormat="1" ht="13.2" x14ac:dyDescent="0.25">
      <c r="A494" s="283"/>
      <c r="C494" s="106"/>
      <c r="D494" s="107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</row>
    <row r="495" spans="1:97" s="7" customFormat="1" ht="13.2" x14ac:dyDescent="0.25">
      <c r="A495" s="283"/>
      <c r="C495" s="106"/>
      <c r="D495" s="107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</row>
    <row r="496" spans="1:97" s="7" customFormat="1" ht="13.2" x14ac:dyDescent="0.25">
      <c r="A496" s="283"/>
      <c r="C496" s="106"/>
      <c r="D496" s="107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</row>
    <row r="497" spans="1:97" s="7" customFormat="1" ht="13.2" x14ac:dyDescent="0.25">
      <c r="A497" s="283"/>
      <c r="C497" s="106"/>
      <c r="D497" s="10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</row>
    <row r="498" spans="1:97" s="7" customFormat="1" ht="13.2" x14ac:dyDescent="0.25">
      <c r="A498" s="283"/>
      <c r="C498" s="106"/>
      <c r="D498" s="107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</row>
    <row r="499" spans="1:97" s="7" customFormat="1" ht="13.2" x14ac:dyDescent="0.25">
      <c r="A499" s="283"/>
      <c r="C499" s="106"/>
      <c r="D499" s="107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</row>
    <row r="500" spans="1:97" s="7" customFormat="1" ht="13.2" x14ac:dyDescent="0.25">
      <c r="A500" s="283"/>
      <c r="C500" s="106"/>
      <c r="D500" s="107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</row>
    <row r="501" spans="1:97" s="7" customFormat="1" ht="13.2" x14ac:dyDescent="0.25">
      <c r="A501" s="283"/>
      <c r="C501" s="106"/>
      <c r="D501" s="107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</row>
    <row r="502" spans="1:97" s="7" customFormat="1" ht="13.2" x14ac:dyDescent="0.25">
      <c r="A502" s="283"/>
      <c r="C502" s="106"/>
      <c r="D502" s="107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</row>
    <row r="503" spans="1:97" s="7" customFormat="1" ht="13.2" x14ac:dyDescent="0.25">
      <c r="A503" s="283"/>
      <c r="C503" s="106"/>
      <c r="D503" s="107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</row>
    <row r="504" spans="1:97" s="7" customFormat="1" ht="13.2" x14ac:dyDescent="0.25">
      <c r="A504" s="283"/>
      <c r="C504" s="106"/>
      <c r="D504" s="107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</row>
    <row r="505" spans="1:97" s="7" customFormat="1" ht="13.2" x14ac:dyDescent="0.25">
      <c r="A505" s="283"/>
      <c r="C505" s="106"/>
      <c r="D505" s="107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</row>
    <row r="506" spans="1:97" s="7" customFormat="1" ht="13.2" x14ac:dyDescent="0.25">
      <c r="A506" s="283"/>
      <c r="C506" s="106"/>
      <c r="D506" s="107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</row>
    <row r="507" spans="1:97" s="7" customFormat="1" ht="13.2" x14ac:dyDescent="0.25">
      <c r="A507" s="283"/>
      <c r="C507" s="106"/>
      <c r="D507" s="1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</row>
    <row r="508" spans="1:97" s="7" customFormat="1" ht="13.2" x14ac:dyDescent="0.25">
      <c r="A508" s="283"/>
      <c r="C508" s="106"/>
      <c r="D508" s="107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</row>
    <row r="509" spans="1:97" s="7" customFormat="1" ht="13.2" x14ac:dyDescent="0.25">
      <c r="A509" s="283"/>
      <c r="C509" s="106"/>
      <c r="D509" s="107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</row>
    <row r="510" spans="1:97" s="7" customFormat="1" ht="13.2" x14ac:dyDescent="0.25">
      <c r="A510" s="283"/>
      <c r="C510" s="106"/>
      <c r="D510" s="107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</row>
    <row r="511" spans="1:97" s="7" customFormat="1" ht="13.2" x14ac:dyDescent="0.25">
      <c r="A511" s="283"/>
      <c r="C511" s="106"/>
      <c r="D511" s="107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</row>
    <row r="512" spans="1:97" s="7" customFormat="1" ht="13.2" x14ac:dyDescent="0.25">
      <c r="A512" s="283"/>
      <c r="C512" s="106"/>
      <c r="D512" s="107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</row>
    <row r="513" spans="1:97" s="7" customFormat="1" ht="13.2" x14ac:dyDescent="0.25">
      <c r="A513" s="283"/>
      <c r="C513" s="106"/>
      <c r="D513" s="107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</row>
    <row r="514" spans="1:97" s="7" customFormat="1" ht="13.2" x14ac:dyDescent="0.25">
      <c r="A514" s="283"/>
      <c r="C514" s="106"/>
      <c r="D514" s="107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</row>
    <row r="515" spans="1:97" s="7" customFormat="1" ht="13.2" x14ac:dyDescent="0.25">
      <c r="A515" s="283"/>
      <c r="C515" s="106"/>
      <c r="D515" s="107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</row>
    <row r="516" spans="1:97" s="7" customFormat="1" ht="13.2" x14ac:dyDescent="0.25">
      <c r="A516" s="283"/>
      <c r="C516" s="106"/>
      <c r="D516" s="107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</row>
    <row r="517" spans="1:97" s="7" customFormat="1" ht="13.2" x14ac:dyDescent="0.25">
      <c r="A517" s="283"/>
      <c r="C517" s="106"/>
      <c r="D517" s="10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</row>
    <row r="518" spans="1:97" s="7" customFormat="1" ht="13.2" x14ac:dyDescent="0.25">
      <c r="A518" s="283"/>
      <c r="C518" s="106"/>
      <c r="D518" s="107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</row>
    <row r="519" spans="1:97" s="7" customFormat="1" ht="13.2" x14ac:dyDescent="0.25">
      <c r="A519" s="283"/>
      <c r="C519" s="106"/>
      <c r="D519" s="107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</row>
    <row r="520" spans="1:97" s="7" customFormat="1" ht="13.2" x14ac:dyDescent="0.25">
      <c r="A520" s="283"/>
      <c r="C520" s="106"/>
      <c r="D520" s="107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</row>
    <row r="521" spans="1:97" s="7" customFormat="1" ht="13.2" x14ac:dyDescent="0.25">
      <c r="A521" s="283"/>
      <c r="C521" s="106"/>
      <c r="D521" s="107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</row>
    <row r="522" spans="1:97" s="7" customFormat="1" ht="13.2" x14ac:dyDescent="0.25">
      <c r="A522" s="283"/>
      <c r="C522" s="106"/>
      <c r="D522" s="107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</row>
    <row r="523" spans="1:97" s="7" customFormat="1" ht="13.2" x14ac:dyDescent="0.25">
      <c r="A523" s="283"/>
      <c r="C523" s="106"/>
      <c r="D523" s="107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</row>
    <row r="524" spans="1:97" s="7" customFormat="1" ht="13.2" x14ac:dyDescent="0.25">
      <c r="A524" s="283"/>
      <c r="C524" s="106"/>
      <c r="D524" s="107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</row>
    <row r="525" spans="1:97" s="7" customFormat="1" ht="13.2" x14ac:dyDescent="0.25">
      <c r="A525" s="283"/>
      <c r="C525" s="106"/>
      <c r="D525" s="107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</row>
    <row r="526" spans="1:97" s="7" customFormat="1" ht="13.2" x14ac:dyDescent="0.25">
      <c r="A526" s="283"/>
      <c r="C526" s="106"/>
      <c r="D526" s="107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</row>
    <row r="527" spans="1:97" s="7" customFormat="1" ht="13.2" x14ac:dyDescent="0.25">
      <c r="A527" s="283"/>
      <c r="C527" s="106"/>
      <c r="D527" s="10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</row>
    <row r="528" spans="1:97" s="7" customFormat="1" ht="13.2" x14ac:dyDescent="0.25">
      <c r="A528" s="283"/>
      <c r="C528" s="106"/>
      <c r="D528" s="107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</row>
    <row r="529" spans="1:97" s="7" customFormat="1" ht="13.2" x14ac:dyDescent="0.25">
      <c r="A529" s="283"/>
      <c r="C529" s="106"/>
      <c r="D529" s="107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</row>
    <row r="530" spans="1:97" s="7" customFormat="1" ht="13.2" x14ac:dyDescent="0.25">
      <c r="A530" s="283"/>
      <c r="C530" s="106"/>
      <c r="D530" s="107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</row>
    <row r="531" spans="1:97" s="7" customFormat="1" ht="13.2" x14ac:dyDescent="0.25">
      <c r="A531" s="283"/>
      <c r="C531" s="106"/>
      <c r="D531" s="107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</row>
    <row r="532" spans="1:97" s="7" customFormat="1" ht="13.2" x14ac:dyDescent="0.25">
      <c r="A532" s="283"/>
      <c r="C532" s="106"/>
      <c r="D532" s="107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</row>
    <row r="533" spans="1:97" s="7" customFormat="1" ht="13.2" x14ac:dyDescent="0.25">
      <c r="A533" s="283"/>
      <c r="C533" s="106"/>
      <c r="D533" s="107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</row>
    <row r="534" spans="1:97" s="7" customFormat="1" ht="13.2" x14ac:dyDescent="0.25">
      <c r="A534" s="283"/>
      <c r="C534" s="106"/>
      <c r="D534" s="107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</row>
    <row r="535" spans="1:97" s="7" customFormat="1" ht="13.2" x14ac:dyDescent="0.25">
      <c r="A535" s="283"/>
      <c r="C535" s="106"/>
      <c r="D535" s="107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</row>
    <row r="536" spans="1:97" s="7" customFormat="1" ht="13.2" x14ac:dyDescent="0.25">
      <c r="A536" s="283"/>
      <c r="C536" s="106"/>
      <c r="D536" s="107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</row>
    <row r="537" spans="1:97" s="7" customFormat="1" ht="13.2" x14ac:dyDescent="0.25">
      <c r="A537" s="283"/>
      <c r="C537" s="106"/>
      <c r="D537" s="10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</row>
    <row r="538" spans="1:97" s="7" customFormat="1" ht="13.2" x14ac:dyDescent="0.25">
      <c r="A538" s="283"/>
      <c r="C538" s="106"/>
      <c r="D538" s="107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</row>
    <row r="539" spans="1:97" s="7" customFormat="1" ht="13.2" x14ac:dyDescent="0.25">
      <c r="A539" s="283"/>
      <c r="C539" s="106"/>
      <c r="D539" s="107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</row>
    <row r="540" spans="1:97" s="7" customFormat="1" ht="13.2" x14ac:dyDescent="0.25">
      <c r="A540" s="283"/>
      <c r="C540" s="106"/>
      <c r="D540" s="107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</row>
    <row r="541" spans="1:97" s="7" customFormat="1" ht="13.2" x14ac:dyDescent="0.25">
      <c r="A541" s="283"/>
      <c r="C541" s="106"/>
      <c r="D541" s="107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</row>
    <row r="542" spans="1:97" s="7" customFormat="1" ht="13.2" x14ac:dyDescent="0.25">
      <c r="A542" s="283"/>
      <c r="C542" s="106"/>
      <c r="D542" s="107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</row>
    <row r="543" spans="1:97" s="7" customFormat="1" ht="13.2" x14ac:dyDescent="0.25">
      <c r="A543" s="283"/>
      <c r="C543" s="106"/>
      <c r="D543" s="107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</row>
    <row r="544" spans="1:97" s="7" customFormat="1" ht="13.2" x14ac:dyDescent="0.25">
      <c r="A544" s="283"/>
      <c r="C544" s="106"/>
      <c r="D544" s="107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</row>
    <row r="545" spans="1:97" s="7" customFormat="1" ht="13.2" x14ac:dyDescent="0.25">
      <c r="A545" s="283"/>
      <c r="C545" s="106"/>
      <c r="D545" s="107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</row>
    <row r="546" spans="1:97" s="7" customFormat="1" ht="13.2" x14ac:dyDescent="0.25">
      <c r="A546" s="283"/>
      <c r="C546" s="106"/>
      <c r="D546" s="107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</row>
    <row r="547" spans="1:97" s="7" customFormat="1" ht="13.2" x14ac:dyDescent="0.25">
      <c r="A547" s="283"/>
      <c r="C547" s="106"/>
      <c r="D547" s="10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</row>
    <row r="548" spans="1:97" s="7" customFormat="1" ht="13.2" x14ac:dyDescent="0.25">
      <c r="A548" s="283"/>
      <c r="C548" s="106"/>
      <c r="D548" s="107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</row>
    <row r="549" spans="1:97" s="7" customFormat="1" ht="13.2" x14ac:dyDescent="0.25">
      <c r="A549" s="283"/>
      <c r="C549" s="106"/>
      <c r="D549" s="107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</row>
    <row r="550" spans="1:97" s="7" customFormat="1" ht="13.2" x14ac:dyDescent="0.25">
      <c r="A550" s="283"/>
      <c r="C550" s="106"/>
      <c r="D550" s="107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</row>
    <row r="551" spans="1:97" s="7" customFormat="1" ht="13.2" x14ac:dyDescent="0.25">
      <c r="A551" s="283"/>
      <c r="C551" s="106"/>
      <c r="D551" s="107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</row>
    <row r="552" spans="1:97" s="7" customFormat="1" ht="13.2" x14ac:dyDescent="0.25">
      <c r="A552" s="283"/>
      <c r="C552" s="106"/>
      <c r="D552" s="107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</row>
    <row r="553" spans="1:97" s="7" customFormat="1" ht="13.2" x14ac:dyDescent="0.25">
      <c r="A553" s="283"/>
      <c r="C553" s="106"/>
      <c r="D553" s="107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</row>
    <row r="554" spans="1:97" s="7" customFormat="1" ht="13.2" x14ac:dyDescent="0.25">
      <c r="A554" s="283"/>
      <c r="C554" s="106"/>
      <c r="D554" s="107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</row>
    <row r="555" spans="1:97" s="7" customFormat="1" ht="13.2" x14ac:dyDescent="0.25">
      <c r="A555" s="283"/>
      <c r="C555" s="106"/>
      <c r="D555" s="107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</row>
    <row r="556" spans="1:97" s="7" customFormat="1" ht="13.2" x14ac:dyDescent="0.25">
      <c r="A556" s="283"/>
      <c r="C556" s="106"/>
      <c r="D556" s="107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</row>
    <row r="557" spans="1:97" s="7" customFormat="1" ht="13.2" x14ac:dyDescent="0.25">
      <c r="A557" s="283"/>
      <c r="C557" s="106"/>
      <c r="D557" s="10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</row>
    <row r="558" spans="1:97" s="7" customFormat="1" ht="13.2" x14ac:dyDescent="0.25">
      <c r="A558" s="283"/>
      <c r="C558" s="106"/>
      <c r="D558" s="107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</row>
    <row r="559" spans="1:97" s="7" customFormat="1" ht="13.2" x14ac:dyDescent="0.25">
      <c r="A559" s="283"/>
      <c r="C559" s="106"/>
      <c r="D559" s="107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</row>
    <row r="560" spans="1:97" s="7" customFormat="1" ht="13.2" x14ac:dyDescent="0.25">
      <c r="A560" s="283"/>
      <c r="C560" s="106"/>
      <c r="D560" s="107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</row>
    <row r="561" spans="1:97" s="7" customFormat="1" ht="13.2" x14ac:dyDescent="0.25">
      <c r="A561" s="283"/>
      <c r="C561" s="106"/>
      <c r="D561" s="107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</row>
    <row r="562" spans="1:97" s="7" customFormat="1" ht="13.2" x14ac:dyDescent="0.25">
      <c r="A562" s="283"/>
      <c r="C562" s="106"/>
      <c r="D562" s="107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</row>
    <row r="563" spans="1:97" s="7" customFormat="1" ht="13.2" x14ac:dyDescent="0.25">
      <c r="A563" s="283"/>
      <c r="C563" s="106"/>
      <c r="D563" s="107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</row>
    <row r="564" spans="1:97" s="7" customFormat="1" ht="13.2" x14ac:dyDescent="0.25">
      <c r="A564" s="283"/>
      <c r="C564" s="106"/>
      <c r="D564" s="107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</row>
    <row r="565" spans="1:97" s="7" customFormat="1" ht="13.2" x14ac:dyDescent="0.25">
      <c r="A565" s="283"/>
      <c r="C565" s="106"/>
      <c r="D565" s="107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</row>
    <row r="566" spans="1:97" s="7" customFormat="1" ht="13.2" x14ac:dyDescent="0.25">
      <c r="A566" s="283"/>
      <c r="C566" s="106"/>
      <c r="D566" s="107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</row>
    <row r="567" spans="1:97" s="7" customFormat="1" ht="13.2" x14ac:dyDescent="0.25">
      <c r="A567" s="283"/>
      <c r="C567" s="106"/>
      <c r="D567" s="10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</row>
    <row r="568" spans="1:97" s="7" customFormat="1" ht="13.2" x14ac:dyDescent="0.25">
      <c r="A568" s="283"/>
      <c r="C568" s="106"/>
      <c r="D568" s="107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</row>
    <row r="569" spans="1:97" s="7" customFormat="1" ht="13.2" x14ac:dyDescent="0.25">
      <c r="A569" s="283"/>
      <c r="C569" s="106"/>
      <c r="D569" s="107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</row>
    <row r="570" spans="1:97" s="7" customFormat="1" ht="13.2" x14ac:dyDescent="0.25">
      <c r="A570" s="283"/>
      <c r="C570" s="106"/>
      <c r="D570" s="107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</row>
    <row r="571" spans="1:97" s="7" customFormat="1" ht="13.2" x14ac:dyDescent="0.25">
      <c r="A571" s="283"/>
      <c r="C571" s="106"/>
      <c r="D571" s="107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</row>
    <row r="572" spans="1:97" s="7" customFormat="1" ht="13.2" x14ac:dyDescent="0.25">
      <c r="A572" s="283"/>
      <c r="C572" s="106"/>
      <c r="D572" s="107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</row>
    <row r="573" spans="1:97" s="7" customFormat="1" ht="13.2" x14ac:dyDescent="0.25">
      <c r="A573" s="283"/>
      <c r="C573" s="106"/>
      <c r="D573" s="107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</row>
    <row r="574" spans="1:97" s="7" customFormat="1" ht="13.2" x14ac:dyDescent="0.25">
      <c r="A574" s="283"/>
      <c r="C574" s="106"/>
      <c r="D574" s="107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</row>
    <row r="575" spans="1:97" s="7" customFormat="1" ht="13.2" x14ac:dyDescent="0.25">
      <c r="A575" s="283"/>
      <c r="C575" s="106"/>
      <c r="D575" s="107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</row>
    <row r="576" spans="1:97" s="7" customFormat="1" ht="13.2" x14ac:dyDescent="0.25">
      <c r="A576" s="283"/>
      <c r="C576" s="106"/>
      <c r="D576" s="107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</row>
    <row r="577" spans="1:97" s="7" customFormat="1" ht="13.2" x14ac:dyDescent="0.25">
      <c r="A577" s="283"/>
      <c r="C577" s="106"/>
      <c r="D577" s="10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</row>
    <row r="578" spans="1:97" s="7" customFormat="1" ht="13.2" x14ac:dyDescent="0.25">
      <c r="A578" s="283"/>
      <c r="C578" s="106"/>
      <c r="D578" s="107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</row>
    <row r="579" spans="1:97" s="7" customFormat="1" ht="13.2" x14ac:dyDescent="0.25">
      <c r="A579" s="283"/>
      <c r="C579" s="106"/>
      <c r="D579" s="107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</row>
    <row r="580" spans="1:97" s="7" customFormat="1" ht="13.2" x14ac:dyDescent="0.25">
      <c r="A580" s="283"/>
      <c r="C580" s="106"/>
      <c r="D580" s="107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</row>
    <row r="581" spans="1:97" s="7" customFormat="1" ht="13.2" x14ac:dyDescent="0.25">
      <c r="A581" s="283"/>
      <c r="C581" s="106"/>
      <c r="D581" s="107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</row>
    <row r="582" spans="1:97" s="7" customFormat="1" ht="13.2" x14ac:dyDescent="0.25">
      <c r="A582" s="283"/>
      <c r="C582" s="106"/>
      <c r="D582" s="107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</row>
    <row r="583" spans="1:97" s="7" customFormat="1" ht="13.2" x14ac:dyDescent="0.25">
      <c r="A583" s="283"/>
      <c r="C583" s="106"/>
      <c r="D583" s="107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</row>
    <row r="584" spans="1:97" s="7" customFormat="1" ht="13.2" x14ac:dyDescent="0.25">
      <c r="A584" s="283"/>
      <c r="C584" s="106"/>
      <c r="D584" s="107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</row>
    <row r="585" spans="1:97" s="7" customFormat="1" ht="13.2" x14ac:dyDescent="0.25">
      <c r="A585" s="283"/>
      <c r="C585" s="106"/>
      <c r="D585" s="107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</row>
    <row r="586" spans="1:97" s="7" customFormat="1" ht="13.2" x14ac:dyDescent="0.25">
      <c r="A586" s="283"/>
      <c r="C586" s="106"/>
      <c r="D586" s="107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</row>
    <row r="587" spans="1:97" s="7" customFormat="1" ht="13.2" x14ac:dyDescent="0.25">
      <c r="A587" s="283"/>
      <c r="C587" s="106"/>
      <c r="D587" s="10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</row>
    <row r="588" spans="1:97" s="7" customFormat="1" ht="13.2" x14ac:dyDescent="0.25">
      <c r="A588" s="283"/>
      <c r="C588" s="106"/>
      <c r="D588" s="107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</row>
    <row r="589" spans="1:97" s="7" customFormat="1" ht="13.2" x14ac:dyDescent="0.25">
      <c r="A589" s="283"/>
      <c r="C589" s="106"/>
      <c r="D589" s="107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</row>
    <row r="590" spans="1:97" s="7" customFormat="1" ht="13.2" x14ac:dyDescent="0.25">
      <c r="A590" s="283"/>
      <c r="C590" s="106"/>
      <c r="D590" s="107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</row>
    <row r="591" spans="1:97" s="7" customFormat="1" ht="13.2" x14ac:dyDescent="0.25">
      <c r="A591" s="283"/>
      <c r="C591" s="106"/>
      <c r="D591" s="107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</row>
    <row r="592" spans="1:97" s="7" customFormat="1" ht="13.2" x14ac:dyDescent="0.25">
      <c r="A592" s="283"/>
      <c r="C592" s="106"/>
      <c r="D592" s="107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</row>
    <row r="593" spans="1:97" s="7" customFormat="1" ht="13.2" x14ac:dyDescent="0.25">
      <c r="A593" s="283"/>
      <c r="C593" s="106"/>
      <c r="D593" s="107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</row>
    <row r="594" spans="1:97" s="7" customFormat="1" ht="13.2" x14ac:dyDescent="0.25">
      <c r="A594" s="283"/>
      <c r="C594" s="106"/>
      <c r="D594" s="107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</row>
    <row r="595" spans="1:97" s="7" customFormat="1" ht="13.2" x14ac:dyDescent="0.25">
      <c r="A595" s="283"/>
      <c r="C595" s="106"/>
      <c r="D595" s="107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</row>
    <row r="596" spans="1:97" s="7" customFormat="1" ht="13.2" x14ac:dyDescent="0.25">
      <c r="A596" s="283"/>
      <c r="C596" s="106"/>
      <c r="D596" s="107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</row>
    <row r="597" spans="1:97" s="7" customFormat="1" ht="13.2" x14ac:dyDescent="0.25">
      <c r="A597" s="283"/>
      <c r="C597" s="106"/>
      <c r="D597" s="10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</row>
    <row r="598" spans="1:97" s="7" customFormat="1" ht="13.2" x14ac:dyDescent="0.25">
      <c r="A598" s="283"/>
      <c r="C598" s="106"/>
      <c r="D598" s="107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</row>
    <row r="599" spans="1:97" s="7" customFormat="1" ht="13.2" x14ac:dyDescent="0.25">
      <c r="A599" s="283"/>
      <c r="C599" s="106"/>
      <c r="D599" s="107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</row>
    <row r="600" spans="1:97" s="7" customFormat="1" ht="13.2" x14ac:dyDescent="0.25">
      <c r="A600" s="283"/>
      <c r="C600" s="106"/>
      <c r="D600" s="107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</row>
    <row r="601" spans="1:97" s="7" customFormat="1" ht="13.2" x14ac:dyDescent="0.25">
      <c r="A601" s="283"/>
      <c r="C601" s="106"/>
      <c r="D601" s="107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</row>
    <row r="602" spans="1:97" s="7" customFormat="1" ht="13.2" x14ac:dyDescent="0.25">
      <c r="A602" s="283"/>
      <c r="C602" s="106"/>
      <c r="D602" s="107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</row>
    <row r="603" spans="1:97" s="7" customFormat="1" ht="13.2" x14ac:dyDescent="0.25">
      <c r="A603" s="283"/>
      <c r="C603" s="106"/>
      <c r="D603" s="107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</row>
    <row r="604" spans="1:97" s="7" customFormat="1" ht="13.2" x14ac:dyDescent="0.25">
      <c r="A604" s="283"/>
      <c r="C604" s="106"/>
      <c r="D604" s="107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</row>
    <row r="605" spans="1:97" s="7" customFormat="1" ht="13.2" x14ac:dyDescent="0.25">
      <c r="A605" s="283"/>
      <c r="C605" s="106"/>
      <c r="D605" s="107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</row>
    <row r="606" spans="1:97" s="7" customFormat="1" ht="13.2" x14ac:dyDescent="0.25">
      <c r="A606" s="283"/>
      <c r="C606" s="106"/>
      <c r="D606" s="107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</row>
    <row r="607" spans="1:97" s="7" customFormat="1" ht="13.2" x14ac:dyDescent="0.25">
      <c r="A607" s="283"/>
      <c r="C607" s="106"/>
      <c r="D607" s="1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</row>
    <row r="608" spans="1:97" s="7" customFormat="1" ht="13.2" x14ac:dyDescent="0.25">
      <c r="A608" s="283"/>
      <c r="C608" s="106"/>
      <c r="D608" s="107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</row>
    <row r="609" spans="1:97" s="7" customFormat="1" ht="13.2" x14ac:dyDescent="0.25">
      <c r="A609" s="283"/>
      <c r="C609" s="106"/>
      <c r="D609" s="107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</row>
    <row r="610" spans="1:97" s="7" customFormat="1" ht="13.2" x14ac:dyDescent="0.25">
      <c r="A610" s="283"/>
      <c r="C610" s="106"/>
      <c r="D610" s="107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</row>
    <row r="611" spans="1:97" s="7" customFormat="1" ht="13.2" x14ac:dyDescent="0.25">
      <c r="A611" s="283"/>
      <c r="C611" s="106"/>
      <c r="D611" s="107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</row>
    <row r="612" spans="1:97" s="7" customFormat="1" ht="13.2" x14ac:dyDescent="0.25">
      <c r="A612" s="283"/>
      <c r="C612" s="106"/>
      <c r="D612" s="107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</row>
    <row r="613" spans="1:97" s="7" customFormat="1" ht="13.2" x14ac:dyDescent="0.25">
      <c r="A613" s="283"/>
      <c r="C613" s="106"/>
      <c r="D613" s="107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</row>
    <row r="614" spans="1:97" s="7" customFormat="1" ht="13.2" x14ac:dyDescent="0.25">
      <c r="A614" s="283"/>
      <c r="C614" s="106"/>
      <c r="D614" s="107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</row>
    <row r="615" spans="1:97" s="7" customFormat="1" ht="13.2" x14ac:dyDescent="0.25">
      <c r="A615" s="283"/>
      <c r="C615" s="106"/>
      <c r="D615" s="107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</row>
    <row r="616" spans="1:97" s="7" customFormat="1" ht="13.2" x14ac:dyDescent="0.25">
      <c r="A616" s="283"/>
      <c r="C616" s="106"/>
      <c r="D616" s="107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</row>
    <row r="617" spans="1:97" s="7" customFormat="1" ht="13.2" x14ac:dyDescent="0.25">
      <c r="A617" s="283"/>
      <c r="C617" s="106"/>
      <c r="D617" s="10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</row>
    <row r="618" spans="1:97" s="7" customFormat="1" ht="13.2" x14ac:dyDescent="0.25">
      <c r="A618" s="283"/>
      <c r="C618" s="106"/>
      <c r="D618" s="107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</row>
    <row r="619" spans="1:97" s="7" customFormat="1" ht="13.2" x14ac:dyDescent="0.25">
      <c r="A619" s="283"/>
      <c r="C619" s="106"/>
      <c r="D619" s="107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</row>
    <row r="620" spans="1:97" s="7" customFormat="1" ht="13.2" x14ac:dyDescent="0.25">
      <c r="A620" s="283"/>
      <c r="C620" s="106"/>
      <c r="D620" s="107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</row>
    <row r="621" spans="1:97" s="7" customFormat="1" ht="13.2" x14ac:dyDescent="0.25">
      <c r="A621" s="283"/>
      <c r="C621" s="106"/>
      <c r="D621" s="107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</row>
    <row r="622" spans="1:97" s="7" customFormat="1" ht="13.2" x14ac:dyDescent="0.25">
      <c r="A622" s="283"/>
      <c r="C622" s="106"/>
      <c r="D622" s="107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</row>
    <row r="623" spans="1:97" s="7" customFormat="1" ht="13.2" x14ac:dyDescent="0.25">
      <c r="A623" s="283"/>
      <c r="C623" s="106"/>
      <c r="D623" s="107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</row>
    <row r="624" spans="1:97" s="7" customFormat="1" ht="13.2" x14ac:dyDescent="0.25">
      <c r="A624" s="283"/>
      <c r="C624" s="106"/>
      <c r="D624" s="107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</row>
    <row r="625" spans="1:97" s="7" customFormat="1" ht="13.2" x14ac:dyDescent="0.25">
      <c r="A625" s="283"/>
      <c r="C625" s="106"/>
      <c r="D625" s="107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</row>
    <row r="626" spans="1:97" s="7" customFormat="1" ht="13.2" x14ac:dyDescent="0.25">
      <c r="A626" s="283"/>
      <c r="C626" s="106"/>
      <c r="D626" s="107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</row>
    <row r="627" spans="1:97" s="7" customFormat="1" ht="13.2" x14ac:dyDescent="0.25">
      <c r="A627" s="283"/>
      <c r="C627" s="106"/>
      <c r="D627" s="10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</row>
    <row r="628" spans="1:97" s="7" customFormat="1" ht="13.2" x14ac:dyDescent="0.25">
      <c r="A628" s="283"/>
      <c r="C628" s="106"/>
      <c r="D628" s="107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</row>
    <row r="629" spans="1:97" s="7" customFormat="1" ht="13.2" x14ac:dyDescent="0.25">
      <c r="A629" s="283"/>
      <c r="C629" s="106"/>
      <c r="D629" s="107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</row>
    <row r="630" spans="1:97" s="7" customFormat="1" ht="13.2" x14ac:dyDescent="0.25">
      <c r="A630" s="283"/>
      <c r="C630" s="106"/>
      <c r="D630" s="107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</row>
    <row r="631" spans="1:97" s="7" customFormat="1" ht="13.2" x14ac:dyDescent="0.25">
      <c r="A631" s="283"/>
      <c r="C631" s="106"/>
      <c r="D631" s="107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</row>
    <row r="632" spans="1:97" s="7" customFormat="1" ht="13.2" x14ac:dyDescent="0.25">
      <c r="A632" s="283"/>
      <c r="C632" s="106"/>
      <c r="D632" s="107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</row>
    <row r="633" spans="1:97" s="7" customFormat="1" ht="13.2" x14ac:dyDescent="0.25">
      <c r="A633" s="283"/>
      <c r="C633" s="106"/>
      <c r="D633" s="107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</row>
    <row r="634" spans="1:97" s="7" customFormat="1" ht="13.2" x14ac:dyDescent="0.25">
      <c r="A634" s="283"/>
      <c r="C634" s="106"/>
      <c r="D634" s="107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</row>
    <row r="635" spans="1:97" s="7" customFormat="1" ht="13.2" x14ac:dyDescent="0.25">
      <c r="A635" s="283"/>
      <c r="C635" s="106"/>
      <c r="D635" s="107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</row>
    <row r="636" spans="1:97" s="7" customFormat="1" ht="13.2" x14ac:dyDescent="0.25">
      <c r="A636" s="283"/>
      <c r="C636" s="106"/>
      <c r="D636" s="107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</row>
    <row r="637" spans="1:97" s="7" customFormat="1" ht="13.2" x14ac:dyDescent="0.25">
      <c r="A637" s="283"/>
      <c r="C637" s="106"/>
      <c r="D637" s="10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</row>
    <row r="638" spans="1:97" s="7" customFormat="1" ht="13.2" x14ac:dyDescent="0.25">
      <c r="A638" s="283"/>
      <c r="C638" s="106"/>
      <c r="D638" s="107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</row>
    <row r="639" spans="1:97" s="7" customFormat="1" ht="13.2" x14ac:dyDescent="0.25">
      <c r="A639" s="283"/>
      <c r="C639" s="106"/>
      <c r="D639" s="107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</row>
    <row r="640" spans="1:97" s="7" customFormat="1" ht="13.2" x14ac:dyDescent="0.25">
      <c r="A640" s="283"/>
      <c r="C640" s="106"/>
      <c r="D640" s="107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</row>
    <row r="641" spans="1:97" s="7" customFormat="1" ht="13.2" x14ac:dyDescent="0.25">
      <c r="A641" s="283"/>
      <c r="C641" s="106"/>
      <c r="D641" s="107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</row>
    <row r="642" spans="1:97" s="7" customFormat="1" ht="13.2" x14ac:dyDescent="0.25">
      <c r="A642" s="283"/>
      <c r="C642" s="106"/>
      <c r="D642" s="107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</row>
    <row r="643" spans="1:97" s="7" customFormat="1" ht="13.2" x14ac:dyDescent="0.25">
      <c r="A643" s="283"/>
      <c r="C643" s="106"/>
      <c r="D643" s="107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</row>
    <row r="644" spans="1:97" s="7" customFormat="1" ht="13.2" x14ac:dyDescent="0.25">
      <c r="A644" s="283"/>
      <c r="C644" s="106"/>
      <c r="D644" s="107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</row>
    <row r="645" spans="1:97" s="7" customFormat="1" ht="13.2" x14ac:dyDescent="0.25">
      <c r="A645" s="283"/>
      <c r="C645" s="106"/>
      <c r="D645" s="107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</row>
    <row r="646" spans="1:97" s="7" customFormat="1" ht="13.2" x14ac:dyDescent="0.25">
      <c r="A646" s="283"/>
      <c r="C646" s="106"/>
      <c r="D646" s="107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</row>
    <row r="647" spans="1:97" s="7" customFormat="1" ht="13.2" x14ac:dyDescent="0.25">
      <c r="A647" s="283"/>
      <c r="C647" s="106"/>
      <c r="D647" s="10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</row>
    <row r="648" spans="1:97" s="7" customFormat="1" ht="13.2" x14ac:dyDescent="0.25">
      <c r="A648" s="283"/>
      <c r="C648" s="106"/>
      <c r="D648" s="107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</row>
    <row r="649" spans="1:97" s="7" customFormat="1" ht="13.2" x14ac:dyDescent="0.25">
      <c r="A649" s="283"/>
      <c r="C649" s="106"/>
      <c r="D649" s="107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</row>
    <row r="650" spans="1:97" s="7" customFormat="1" ht="13.2" x14ac:dyDescent="0.25">
      <c r="A650" s="283"/>
      <c r="C650" s="106"/>
      <c r="D650" s="107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</row>
    <row r="651" spans="1:97" s="7" customFormat="1" ht="13.2" x14ac:dyDescent="0.25">
      <c r="A651" s="283"/>
      <c r="C651" s="106"/>
      <c r="D651" s="107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</row>
    <row r="652" spans="1:97" s="7" customFormat="1" ht="13.2" x14ac:dyDescent="0.25">
      <c r="A652" s="283"/>
      <c r="C652" s="106"/>
      <c r="D652" s="107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</row>
    <row r="653" spans="1:97" s="7" customFormat="1" ht="13.2" x14ac:dyDescent="0.25">
      <c r="A653" s="283"/>
      <c r="C653" s="106"/>
      <c r="D653" s="107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</row>
    <row r="654" spans="1:97" s="7" customFormat="1" ht="13.2" x14ac:dyDescent="0.25">
      <c r="A654" s="283"/>
      <c r="C654" s="106"/>
      <c r="D654" s="107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</row>
    <row r="655" spans="1:97" s="7" customFormat="1" ht="13.2" x14ac:dyDescent="0.25">
      <c r="A655" s="283"/>
      <c r="C655" s="106"/>
      <c r="D655" s="107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</row>
    <row r="656" spans="1:97" s="7" customFormat="1" ht="13.2" x14ac:dyDescent="0.25">
      <c r="A656" s="283"/>
      <c r="C656" s="106"/>
      <c r="D656" s="107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</row>
    <row r="657" spans="1:97" s="7" customFormat="1" ht="13.2" x14ac:dyDescent="0.25">
      <c r="A657" s="283"/>
      <c r="C657" s="106"/>
      <c r="D657" s="10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</row>
    <row r="658" spans="1:97" s="7" customFormat="1" ht="13.2" x14ac:dyDescent="0.25">
      <c r="A658" s="283"/>
      <c r="C658" s="106"/>
      <c r="D658" s="107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</row>
    <row r="659" spans="1:97" s="7" customFormat="1" ht="13.2" x14ac:dyDescent="0.25">
      <c r="A659" s="283"/>
      <c r="C659" s="106"/>
      <c r="D659" s="107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</row>
    <row r="660" spans="1:97" s="7" customFormat="1" ht="13.2" x14ac:dyDescent="0.25">
      <c r="A660" s="283"/>
      <c r="C660" s="106"/>
      <c r="D660" s="107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</row>
    <row r="661" spans="1:97" s="7" customFormat="1" ht="13.2" x14ac:dyDescent="0.25">
      <c r="A661" s="283"/>
      <c r="C661" s="106"/>
      <c r="D661" s="107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</row>
    <row r="662" spans="1:97" s="7" customFormat="1" ht="13.2" x14ac:dyDescent="0.25">
      <c r="A662" s="283"/>
      <c r="C662" s="106"/>
      <c r="D662" s="107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</row>
    <row r="663" spans="1:97" s="7" customFormat="1" ht="13.2" x14ac:dyDescent="0.25">
      <c r="A663" s="283"/>
      <c r="C663" s="106"/>
      <c r="D663" s="107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</row>
    <row r="664" spans="1:97" s="7" customFormat="1" ht="13.2" x14ac:dyDescent="0.25">
      <c r="A664" s="283"/>
      <c r="C664" s="106"/>
      <c r="D664" s="107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</row>
    <row r="665" spans="1:97" s="7" customFormat="1" ht="13.2" x14ac:dyDescent="0.25">
      <c r="A665" s="283"/>
      <c r="C665" s="106"/>
      <c r="D665" s="107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</row>
    <row r="666" spans="1:97" s="7" customFormat="1" ht="13.2" x14ac:dyDescent="0.25">
      <c r="A666" s="283"/>
      <c r="C666" s="106"/>
      <c r="D666" s="107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</row>
    <row r="667" spans="1:97" s="7" customFormat="1" ht="13.2" x14ac:dyDescent="0.25">
      <c r="A667" s="283"/>
      <c r="C667" s="106"/>
      <c r="D667" s="10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</row>
    <row r="668" spans="1:97" s="7" customFormat="1" ht="13.2" x14ac:dyDescent="0.25">
      <c r="A668" s="283"/>
      <c r="C668" s="106"/>
      <c r="D668" s="107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</row>
    <row r="669" spans="1:97" s="7" customFormat="1" ht="13.2" x14ac:dyDescent="0.25">
      <c r="A669" s="283"/>
      <c r="C669" s="106"/>
      <c r="D669" s="107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</row>
    <row r="670" spans="1:97" s="7" customFormat="1" ht="13.2" x14ac:dyDescent="0.25">
      <c r="A670" s="283"/>
      <c r="C670" s="106"/>
      <c r="D670" s="107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</row>
    <row r="671" spans="1:97" s="7" customFormat="1" ht="13.2" x14ac:dyDescent="0.25">
      <c r="A671" s="283"/>
      <c r="C671" s="106"/>
      <c r="D671" s="107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</row>
    <row r="672" spans="1:97" s="7" customFormat="1" ht="13.2" x14ac:dyDescent="0.25">
      <c r="A672" s="283"/>
      <c r="C672" s="106"/>
      <c r="D672" s="107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</row>
    <row r="673" spans="1:97" s="7" customFormat="1" ht="13.2" x14ac:dyDescent="0.25">
      <c r="A673" s="283"/>
      <c r="C673" s="106"/>
      <c r="D673" s="107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</row>
    <row r="674" spans="1:97" s="7" customFormat="1" ht="13.2" x14ac:dyDescent="0.25">
      <c r="A674" s="283"/>
      <c r="C674" s="106"/>
      <c r="D674" s="107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</row>
    <row r="675" spans="1:97" s="7" customFormat="1" ht="13.2" x14ac:dyDescent="0.25">
      <c r="A675" s="283"/>
      <c r="C675" s="106"/>
      <c r="D675" s="107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</row>
    <row r="676" spans="1:97" s="7" customFormat="1" ht="13.2" x14ac:dyDescent="0.25">
      <c r="A676" s="283"/>
      <c r="C676" s="106"/>
      <c r="D676" s="107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</row>
    <row r="677" spans="1:97" s="7" customFormat="1" ht="13.2" x14ac:dyDescent="0.25">
      <c r="A677" s="283"/>
      <c r="C677" s="106"/>
      <c r="D677" s="10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</row>
    <row r="678" spans="1:97" s="7" customFormat="1" ht="13.2" x14ac:dyDescent="0.25">
      <c r="A678" s="283"/>
      <c r="C678" s="106"/>
      <c r="D678" s="107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</row>
    <row r="679" spans="1:97" s="7" customFormat="1" ht="13.2" x14ac:dyDescent="0.25">
      <c r="A679" s="283"/>
      <c r="C679" s="106"/>
      <c r="D679" s="107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</row>
    <row r="680" spans="1:97" s="7" customFormat="1" ht="13.2" x14ac:dyDescent="0.25">
      <c r="A680" s="283"/>
      <c r="C680" s="106"/>
      <c r="D680" s="107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</row>
    <row r="681" spans="1:97" s="7" customFormat="1" ht="13.2" x14ac:dyDescent="0.25">
      <c r="A681" s="283"/>
      <c r="C681" s="106"/>
      <c r="D681" s="107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</row>
    <row r="682" spans="1:97" s="7" customFormat="1" ht="13.2" x14ac:dyDescent="0.25">
      <c r="A682" s="283"/>
      <c r="C682" s="106"/>
      <c r="D682" s="107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</row>
    <row r="683" spans="1:97" s="7" customFormat="1" ht="13.2" x14ac:dyDescent="0.25">
      <c r="A683" s="283"/>
      <c r="C683" s="106"/>
      <c r="D683" s="107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</row>
    <row r="684" spans="1:97" s="7" customFormat="1" ht="13.2" x14ac:dyDescent="0.25">
      <c r="A684" s="283"/>
      <c r="C684" s="106"/>
      <c r="D684" s="107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</row>
    <row r="685" spans="1:97" s="7" customFormat="1" ht="13.2" x14ac:dyDescent="0.25">
      <c r="A685" s="283"/>
      <c r="C685" s="106"/>
      <c r="D685" s="107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</row>
    <row r="686" spans="1:97" s="7" customFormat="1" ht="13.2" x14ac:dyDescent="0.25">
      <c r="A686" s="283"/>
      <c r="C686" s="106"/>
      <c r="D686" s="107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</row>
    <row r="687" spans="1:97" s="7" customFormat="1" ht="13.2" x14ac:dyDescent="0.25">
      <c r="A687" s="283"/>
      <c r="C687" s="106"/>
      <c r="D687" s="10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</row>
    <row r="688" spans="1:97" s="7" customFormat="1" ht="13.2" x14ac:dyDescent="0.25">
      <c r="A688" s="283"/>
      <c r="C688" s="106"/>
      <c r="D688" s="107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</row>
    <row r="689" spans="1:97" s="7" customFormat="1" ht="13.2" x14ac:dyDescent="0.25">
      <c r="A689" s="283"/>
      <c r="C689" s="106"/>
      <c r="D689" s="107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</row>
    <row r="690" spans="1:97" s="7" customFormat="1" ht="13.2" x14ac:dyDescent="0.25">
      <c r="A690" s="283"/>
      <c r="C690" s="106"/>
      <c r="D690" s="107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</row>
    <row r="691" spans="1:97" s="7" customFormat="1" ht="13.2" x14ac:dyDescent="0.25">
      <c r="A691" s="283"/>
      <c r="C691" s="106"/>
      <c r="D691" s="107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</row>
    <row r="692" spans="1:97" s="7" customFormat="1" ht="13.2" x14ac:dyDescent="0.25">
      <c r="A692" s="283"/>
      <c r="C692" s="106"/>
      <c r="D692" s="107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</row>
    <row r="693" spans="1:97" s="7" customFormat="1" ht="13.2" x14ac:dyDescent="0.25">
      <c r="A693" s="283"/>
      <c r="C693" s="106"/>
      <c r="D693" s="107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</row>
    <row r="694" spans="1:97" s="7" customFormat="1" ht="13.2" x14ac:dyDescent="0.25">
      <c r="A694" s="283"/>
      <c r="C694" s="106"/>
      <c r="D694" s="107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</row>
    <row r="695" spans="1:97" s="7" customFormat="1" ht="13.2" x14ac:dyDescent="0.25">
      <c r="A695" s="283"/>
      <c r="C695" s="106"/>
      <c r="D695" s="107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</row>
    <row r="696" spans="1:97" s="7" customFormat="1" ht="13.2" x14ac:dyDescent="0.25">
      <c r="A696" s="283"/>
      <c r="C696" s="106"/>
      <c r="D696" s="107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</row>
    <row r="697" spans="1:97" s="7" customFormat="1" ht="13.2" x14ac:dyDescent="0.25">
      <c r="A697" s="283"/>
      <c r="C697" s="106"/>
      <c r="D697" s="10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</row>
    <row r="698" spans="1:97" s="7" customFormat="1" ht="13.2" x14ac:dyDescent="0.25">
      <c r="A698" s="283"/>
      <c r="C698" s="106"/>
      <c r="D698" s="107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</row>
    <row r="699" spans="1:97" s="7" customFormat="1" ht="13.2" x14ac:dyDescent="0.25">
      <c r="A699" s="283"/>
      <c r="C699" s="106"/>
      <c r="D699" s="107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</row>
    <row r="700" spans="1:97" s="7" customFormat="1" ht="13.2" x14ac:dyDescent="0.25">
      <c r="A700" s="283"/>
      <c r="C700" s="106"/>
      <c r="D700" s="107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</row>
    <row r="701" spans="1:97" s="7" customFormat="1" ht="13.2" x14ac:dyDescent="0.25">
      <c r="A701" s="283"/>
      <c r="C701" s="106"/>
      <c r="D701" s="107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</row>
    <row r="702" spans="1:97" s="7" customFormat="1" ht="13.2" x14ac:dyDescent="0.25">
      <c r="A702" s="283"/>
      <c r="C702" s="106"/>
      <c r="D702" s="107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</row>
    <row r="703" spans="1:97" s="7" customFormat="1" ht="13.2" x14ac:dyDescent="0.25">
      <c r="A703" s="283"/>
      <c r="C703" s="106"/>
      <c r="D703" s="107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</row>
    <row r="704" spans="1:97" s="7" customFormat="1" ht="13.2" x14ac:dyDescent="0.25">
      <c r="A704" s="283"/>
      <c r="C704" s="106"/>
      <c r="D704" s="107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</row>
    <row r="705" spans="1:97" s="7" customFormat="1" ht="13.2" x14ac:dyDescent="0.25">
      <c r="A705" s="283"/>
      <c r="C705" s="106"/>
      <c r="D705" s="107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</row>
    <row r="706" spans="1:97" s="7" customFormat="1" ht="13.2" x14ac:dyDescent="0.25">
      <c r="A706" s="283"/>
      <c r="C706" s="106"/>
      <c r="D706" s="107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</row>
    <row r="707" spans="1:97" s="7" customFormat="1" ht="13.2" x14ac:dyDescent="0.25">
      <c r="A707" s="283"/>
      <c r="C707" s="106"/>
      <c r="D707" s="1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</row>
    <row r="708" spans="1:97" s="7" customFormat="1" ht="13.2" x14ac:dyDescent="0.25">
      <c r="A708" s="283"/>
      <c r="C708" s="106"/>
      <c r="D708" s="107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</row>
    <row r="709" spans="1:97" s="7" customFormat="1" ht="13.2" x14ac:dyDescent="0.25">
      <c r="A709" s="283"/>
      <c r="C709" s="106"/>
      <c r="D709" s="107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</row>
    <row r="710" spans="1:97" s="7" customFormat="1" ht="13.2" x14ac:dyDescent="0.25">
      <c r="A710" s="283"/>
      <c r="C710" s="106"/>
      <c r="D710" s="107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</row>
    <row r="711" spans="1:97" s="7" customFormat="1" ht="13.2" x14ac:dyDescent="0.25">
      <c r="A711" s="283"/>
      <c r="C711" s="106"/>
      <c r="D711" s="107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</row>
    <row r="712" spans="1:97" s="7" customFormat="1" ht="13.2" x14ac:dyDescent="0.25">
      <c r="A712" s="283"/>
      <c r="C712" s="106"/>
      <c r="D712" s="107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</row>
    <row r="713" spans="1:97" s="7" customFormat="1" ht="13.2" x14ac:dyDescent="0.25">
      <c r="A713" s="283"/>
      <c r="C713" s="106"/>
      <c r="D713" s="107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</row>
    <row r="714" spans="1:97" s="7" customFormat="1" ht="13.2" x14ac:dyDescent="0.25">
      <c r="A714" s="283"/>
      <c r="C714" s="106"/>
      <c r="D714" s="107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</row>
    <row r="715" spans="1:97" s="7" customFormat="1" ht="13.2" x14ac:dyDescent="0.25">
      <c r="A715" s="283"/>
      <c r="C715" s="106"/>
      <c r="D715" s="107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</row>
    <row r="716" spans="1:97" s="7" customFormat="1" ht="13.2" x14ac:dyDescent="0.25">
      <c r="A716" s="283"/>
      <c r="C716" s="106"/>
      <c r="D716" s="107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</row>
    <row r="717" spans="1:97" s="7" customFormat="1" ht="13.2" x14ac:dyDescent="0.25">
      <c r="A717" s="283"/>
      <c r="C717" s="106"/>
      <c r="D717" s="10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</row>
    <row r="718" spans="1:97" s="7" customFormat="1" ht="13.2" x14ac:dyDescent="0.25">
      <c r="A718" s="283"/>
      <c r="C718" s="106"/>
      <c r="D718" s="107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</row>
    <row r="719" spans="1:97" s="7" customFormat="1" ht="13.2" x14ac:dyDescent="0.25">
      <c r="A719" s="283"/>
      <c r="C719" s="106"/>
      <c r="D719" s="107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</row>
    <row r="720" spans="1:97" s="7" customFormat="1" ht="13.2" x14ac:dyDescent="0.25">
      <c r="A720" s="283"/>
      <c r="C720" s="106"/>
      <c r="D720" s="107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</row>
    <row r="721" spans="1:97" s="7" customFormat="1" ht="13.2" x14ac:dyDescent="0.25">
      <c r="A721" s="283"/>
      <c r="C721" s="106"/>
      <c r="D721" s="107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</row>
    <row r="722" spans="1:97" s="7" customFormat="1" ht="13.2" x14ac:dyDescent="0.25">
      <c r="A722" s="283"/>
      <c r="C722" s="106"/>
      <c r="D722" s="107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</row>
    <row r="723" spans="1:97" s="7" customFormat="1" ht="13.2" x14ac:dyDescent="0.25">
      <c r="A723" s="283"/>
      <c r="C723" s="106"/>
      <c r="D723" s="107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</row>
    <row r="724" spans="1:97" s="7" customFormat="1" ht="13.2" x14ac:dyDescent="0.25">
      <c r="A724" s="283"/>
      <c r="C724" s="106"/>
      <c r="D724" s="107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</row>
    <row r="725" spans="1:97" s="7" customFormat="1" ht="13.2" x14ac:dyDescent="0.25">
      <c r="A725" s="283"/>
      <c r="C725" s="106"/>
      <c r="D725" s="107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</row>
    <row r="726" spans="1:97" s="7" customFormat="1" ht="13.2" x14ac:dyDescent="0.25">
      <c r="A726" s="283"/>
      <c r="C726" s="106"/>
      <c r="D726" s="107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</row>
    <row r="727" spans="1:97" s="7" customFormat="1" ht="13.2" x14ac:dyDescent="0.25">
      <c r="A727" s="283"/>
      <c r="C727" s="106"/>
      <c r="D727" s="10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</row>
    <row r="728" spans="1:97" s="7" customFormat="1" ht="13.2" x14ac:dyDescent="0.25">
      <c r="A728" s="283"/>
      <c r="C728" s="106"/>
      <c r="D728" s="107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</row>
    <row r="729" spans="1:97" s="7" customFormat="1" ht="13.2" x14ac:dyDescent="0.25">
      <c r="A729" s="283"/>
      <c r="C729" s="106"/>
      <c r="D729" s="107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</row>
    <row r="730" spans="1:97" s="7" customFormat="1" ht="13.2" x14ac:dyDescent="0.25">
      <c r="A730" s="283"/>
      <c r="C730" s="106"/>
      <c r="D730" s="107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</row>
    <row r="731" spans="1:97" s="7" customFormat="1" ht="13.2" x14ac:dyDescent="0.25">
      <c r="A731" s="283"/>
      <c r="C731" s="106"/>
      <c r="D731" s="107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</row>
    <row r="732" spans="1:97" s="7" customFormat="1" ht="13.2" x14ac:dyDescent="0.25">
      <c r="A732" s="283"/>
      <c r="C732" s="106"/>
      <c r="D732" s="107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</row>
    <row r="733" spans="1:97" s="7" customFormat="1" ht="13.2" x14ac:dyDescent="0.25">
      <c r="A733" s="283"/>
      <c r="C733" s="106"/>
      <c r="D733" s="107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</row>
    <row r="734" spans="1:97" s="7" customFormat="1" ht="13.2" x14ac:dyDescent="0.25">
      <c r="A734" s="283"/>
      <c r="C734" s="106"/>
      <c r="D734" s="107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</row>
    <row r="735" spans="1:97" s="7" customFormat="1" ht="13.2" x14ac:dyDescent="0.25">
      <c r="A735" s="283"/>
      <c r="C735" s="106"/>
      <c r="D735" s="107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</row>
    <row r="736" spans="1:97" s="7" customFormat="1" ht="13.2" x14ac:dyDescent="0.25">
      <c r="A736" s="283"/>
      <c r="C736" s="106"/>
      <c r="D736" s="107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</row>
    <row r="737" spans="1:97" s="7" customFormat="1" ht="13.2" x14ac:dyDescent="0.25">
      <c r="A737" s="283"/>
      <c r="C737" s="106"/>
      <c r="D737" s="10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</row>
    <row r="738" spans="1:97" s="7" customFormat="1" ht="13.2" x14ac:dyDescent="0.25">
      <c r="A738" s="283"/>
      <c r="C738" s="106"/>
      <c r="D738" s="107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</row>
    <row r="739" spans="1:97" s="7" customFormat="1" ht="13.2" x14ac:dyDescent="0.25">
      <c r="A739" s="283"/>
      <c r="C739" s="106"/>
      <c r="D739" s="107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</row>
    <row r="740" spans="1:97" s="7" customFormat="1" ht="13.2" x14ac:dyDescent="0.25">
      <c r="A740" s="283"/>
      <c r="C740" s="106"/>
      <c r="D740" s="107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</row>
    <row r="741" spans="1:97" s="7" customFormat="1" ht="13.2" x14ac:dyDescent="0.25">
      <c r="A741" s="283"/>
      <c r="C741" s="106"/>
      <c r="D741" s="107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</row>
    <row r="742" spans="1:97" s="7" customFormat="1" ht="13.2" x14ac:dyDescent="0.25">
      <c r="A742" s="283"/>
      <c r="C742" s="106"/>
      <c r="D742" s="107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</row>
    <row r="743" spans="1:97" s="7" customFormat="1" ht="13.2" x14ac:dyDescent="0.25">
      <c r="A743" s="283"/>
      <c r="C743" s="106"/>
      <c r="D743" s="107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</row>
    <row r="744" spans="1:97" s="7" customFormat="1" ht="13.2" x14ac:dyDescent="0.25">
      <c r="A744" s="283"/>
      <c r="C744" s="106"/>
      <c r="D744" s="107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</row>
    <row r="745" spans="1:97" s="7" customFormat="1" ht="13.2" x14ac:dyDescent="0.25">
      <c r="A745" s="283"/>
      <c r="C745" s="106"/>
      <c r="D745" s="107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</row>
    <row r="746" spans="1:97" s="7" customFormat="1" ht="13.2" x14ac:dyDescent="0.25">
      <c r="A746" s="283"/>
      <c r="C746" s="106"/>
      <c r="D746" s="107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</row>
    <row r="747" spans="1:97" s="7" customFormat="1" ht="13.2" x14ac:dyDescent="0.25">
      <c r="A747" s="283"/>
      <c r="C747" s="106"/>
      <c r="D747" s="10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</row>
    <row r="748" spans="1:97" s="7" customFormat="1" ht="13.2" x14ac:dyDescent="0.25">
      <c r="A748" s="283"/>
      <c r="C748" s="106"/>
      <c r="D748" s="107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</row>
    <row r="749" spans="1:97" s="7" customFormat="1" ht="13.2" x14ac:dyDescent="0.25">
      <c r="A749" s="283"/>
      <c r="C749" s="106"/>
      <c r="D749" s="107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</row>
    <row r="750" spans="1:97" s="7" customFormat="1" ht="13.2" x14ac:dyDescent="0.25">
      <c r="A750" s="283"/>
      <c r="C750" s="106"/>
      <c r="D750" s="107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</row>
    <row r="751" spans="1:97" s="7" customFormat="1" ht="13.2" x14ac:dyDescent="0.25">
      <c r="A751" s="283"/>
      <c r="C751" s="106"/>
      <c r="D751" s="107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</row>
    <row r="752" spans="1:97" s="7" customFormat="1" ht="13.2" x14ac:dyDescent="0.25">
      <c r="A752" s="283"/>
      <c r="C752" s="106"/>
      <c r="D752" s="107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</row>
    <row r="753" spans="1:97" s="7" customFormat="1" ht="13.2" x14ac:dyDescent="0.25">
      <c r="A753" s="283"/>
      <c r="C753" s="106"/>
      <c r="D753" s="107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</row>
    <row r="754" spans="1:97" s="7" customFormat="1" ht="13.2" x14ac:dyDescent="0.25">
      <c r="A754" s="283"/>
      <c r="C754" s="106"/>
      <c r="D754" s="107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</row>
    <row r="755" spans="1:97" s="7" customFormat="1" ht="13.2" x14ac:dyDescent="0.25">
      <c r="A755" s="283"/>
      <c r="C755" s="106"/>
      <c r="D755" s="107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</row>
    <row r="756" spans="1:97" s="7" customFormat="1" ht="13.2" x14ac:dyDescent="0.25">
      <c r="A756" s="283"/>
      <c r="C756" s="106"/>
      <c r="D756" s="107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</row>
    <row r="757" spans="1:97" s="7" customFormat="1" ht="13.2" x14ac:dyDescent="0.25">
      <c r="A757" s="283"/>
      <c r="C757" s="106"/>
      <c r="D757" s="10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</row>
    <row r="758" spans="1:97" s="7" customFormat="1" ht="13.2" x14ac:dyDescent="0.25">
      <c r="A758" s="283"/>
      <c r="C758" s="106"/>
      <c r="D758" s="107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</row>
    <row r="759" spans="1:97" s="7" customFormat="1" ht="13.2" x14ac:dyDescent="0.25">
      <c r="A759" s="283"/>
      <c r="C759" s="106"/>
      <c r="D759" s="107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</row>
    <row r="760" spans="1:97" s="7" customFormat="1" ht="13.2" x14ac:dyDescent="0.25">
      <c r="A760" s="283"/>
      <c r="C760" s="106"/>
      <c r="D760" s="107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</row>
    <row r="761" spans="1:97" s="7" customFormat="1" ht="13.2" x14ac:dyDescent="0.25">
      <c r="A761" s="283"/>
      <c r="C761" s="106"/>
      <c r="D761" s="107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</row>
    <row r="762" spans="1:97" s="7" customFormat="1" ht="13.2" x14ac:dyDescent="0.25">
      <c r="A762" s="283"/>
      <c r="C762" s="106"/>
      <c r="D762" s="107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</row>
    <row r="763" spans="1:97" s="7" customFormat="1" ht="13.2" x14ac:dyDescent="0.25">
      <c r="A763" s="283"/>
      <c r="C763" s="106"/>
      <c r="D763" s="107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</row>
    <row r="764" spans="1:97" s="7" customFormat="1" ht="13.2" x14ac:dyDescent="0.25">
      <c r="A764" s="283"/>
      <c r="C764" s="106"/>
      <c r="D764" s="107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</row>
    <row r="765" spans="1:97" s="7" customFormat="1" ht="13.2" x14ac:dyDescent="0.25">
      <c r="A765" s="283"/>
      <c r="C765" s="106"/>
      <c r="D765" s="107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</row>
    <row r="766" spans="1:97" s="7" customFormat="1" ht="13.2" x14ac:dyDescent="0.25">
      <c r="A766" s="283"/>
      <c r="C766" s="106"/>
      <c r="D766" s="107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</row>
    <row r="767" spans="1:97" s="7" customFormat="1" ht="13.2" x14ac:dyDescent="0.25">
      <c r="A767" s="283"/>
      <c r="C767" s="106"/>
      <c r="D767" s="10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</row>
    <row r="768" spans="1:97" s="7" customFormat="1" ht="13.2" x14ac:dyDescent="0.25">
      <c r="A768" s="283"/>
      <c r="C768" s="106"/>
      <c r="D768" s="107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</row>
    <row r="769" spans="1:97" s="7" customFormat="1" ht="13.2" x14ac:dyDescent="0.25">
      <c r="A769" s="283"/>
      <c r="C769" s="106"/>
      <c r="D769" s="107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</row>
    <row r="770" spans="1:97" s="7" customFormat="1" ht="13.2" x14ac:dyDescent="0.25">
      <c r="A770" s="283"/>
      <c r="C770" s="106"/>
      <c r="D770" s="107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</row>
    <row r="771" spans="1:97" s="7" customFormat="1" ht="13.2" x14ac:dyDescent="0.25">
      <c r="A771" s="283"/>
      <c r="C771" s="106"/>
      <c r="D771" s="107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</row>
    <row r="772" spans="1:97" s="7" customFormat="1" ht="13.2" x14ac:dyDescent="0.25">
      <c r="A772" s="283"/>
      <c r="C772" s="106"/>
      <c r="D772" s="107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</row>
    <row r="773" spans="1:97" s="7" customFormat="1" ht="13.2" x14ac:dyDescent="0.25">
      <c r="A773" s="283"/>
      <c r="C773" s="106"/>
      <c r="D773" s="107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</row>
    <row r="774" spans="1:97" s="7" customFormat="1" ht="13.2" x14ac:dyDescent="0.25">
      <c r="A774" s="283"/>
      <c r="C774" s="106"/>
      <c r="D774" s="107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</row>
    <row r="775" spans="1:97" s="7" customFormat="1" ht="13.2" x14ac:dyDescent="0.25">
      <c r="A775" s="283"/>
      <c r="C775" s="106"/>
      <c r="D775" s="107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</row>
    <row r="776" spans="1:97" s="7" customFormat="1" ht="13.2" x14ac:dyDescent="0.25">
      <c r="A776" s="283"/>
      <c r="C776" s="106"/>
      <c r="D776" s="107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</row>
    <row r="777" spans="1:97" s="7" customFormat="1" ht="13.2" x14ac:dyDescent="0.25">
      <c r="A777" s="283"/>
      <c r="C777" s="106"/>
      <c r="D777" s="10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</row>
    <row r="778" spans="1:97" s="7" customFormat="1" ht="13.2" x14ac:dyDescent="0.25">
      <c r="A778" s="283"/>
      <c r="C778" s="106"/>
      <c r="D778" s="107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</row>
    <row r="779" spans="1:97" s="7" customFormat="1" ht="13.2" x14ac:dyDescent="0.25">
      <c r="A779" s="283"/>
      <c r="C779" s="106"/>
      <c r="D779" s="107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</row>
    <row r="780" spans="1:97" s="7" customFormat="1" ht="13.2" x14ac:dyDescent="0.25">
      <c r="A780" s="283"/>
      <c r="C780" s="106"/>
      <c r="D780" s="107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</row>
    <row r="781" spans="1:97" s="7" customFormat="1" ht="13.2" x14ac:dyDescent="0.25">
      <c r="A781" s="283"/>
      <c r="C781" s="106"/>
      <c r="D781" s="107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</row>
    <row r="782" spans="1:97" s="7" customFormat="1" ht="13.2" x14ac:dyDescent="0.25">
      <c r="A782" s="283"/>
      <c r="C782" s="106"/>
      <c r="D782" s="107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</row>
    <row r="783" spans="1:97" s="7" customFormat="1" ht="13.2" x14ac:dyDescent="0.25">
      <c r="A783" s="283"/>
      <c r="C783" s="106"/>
      <c r="D783" s="107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</row>
    <row r="784" spans="1:97" s="7" customFormat="1" ht="13.2" x14ac:dyDescent="0.25">
      <c r="A784" s="283"/>
      <c r="C784" s="106"/>
      <c r="D784" s="107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</row>
    <row r="785" spans="1:97" s="7" customFormat="1" ht="13.2" x14ac:dyDescent="0.25">
      <c r="A785" s="283"/>
      <c r="C785" s="106"/>
      <c r="D785" s="107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</row>
    <row r="786" spans="1:97" s="7" customFormat="1" ht="13.2" x14ac:dyDescent="0.25">
      <c r="A786" s="283"/>
      <c r="C786" s="106"/>
      <c r="D786" s="107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</row>
    <row r="787" spans="1:97" s="7" customFormat="1" ht="13.2" x14ac:dyDescent="0.25">
      <c r="A787" s="283"/>
      <c r="C787" s="106"/>
      <c r="D787" s="10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</row>
    <row r="788" spans="1:97" s="7" customFormat="1" ht="13.2" x14ac:dyDescent="0.25">
      <c r="A788" s="283"/>
      <c r="C788" s="106"/>
      <c r="D788" s="107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</row>
    <row r="789" spans="1:97" s="7" customFormat="1" ht="13.2" x14ac:dyDescent="0.25">
      <c r="A789" s="283"/>
      <c r="C789" s="106"/>
      <c r="D789" s="107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</row>
    <row r="790" spans="1:97" s="7" customFormat="1" ht="13.2" x14ac:dyDescent="0.25">
      <c r="A790" s="283"/>
      <c r="C790" s="106"/>
      <c r="D790" s="107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</row>
    <row r="791" spans="1:97" s="7" customFormat="1" ht="13.2" x14ac:dyDescent="0.25">
      <c r="A791" s="283"/>
      <c r="C791" s="106"/>
      <c r="D791" s="107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</row>
    <row r="792" spans="1:97" s="7" customFormat="1" ht="13.2" x14ac:dyDescent="0.25">
      <c r="A792" s="283"/>
      <c r="C792" s="106"/>
      <c r="D792" s="107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</row>
    <row r="793" spans="1:97" s="7" customFormat="1" ht="13.2" x14ac:dyDescent="0.25">
      <c r="A793" s="283"/>
      <c r="C793" s="106"/>
      <c r="D793" s="107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</row>
    <row r="794" spans="1:97" s="7" customFormat="1" ht="13.2" x14ac:dyDescent="0.25">
      <c r="A794" s="283"/>
      <c r="C794" s="106"/>
      <c r="D794" s="107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</row>
    <row r="795" spans="1:97" s="7" customFormat="1" ht="13.2" x14ac:dyDescent="0.25">
      <c r="A795" s="283"/>
      <c r="C795" s="106"/>
      <c r="D795" s="107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</row>
    <row r="796" spans="1:97" s="7" customFormat="1" ht="13.2" x14ac:dyDescent="0.25">
      <c r="A796" s="283"/>
      <c r="C796" s="106"/>
      <c r="D796" s="107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</row>
    <row r="797" spans="1:97" s="7" customFormat="1" ht="13.2" x14ac:dyDescent="0.25">
      <c r="A797" s="283"/>
      <c r="C797" s="106"/>
      <c r="D797" s="10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</row>
    <row r="798" spans="1:97" s="7" customFormat="1" ht="13.2" x14ac:dyDescent="0.25">
      <c r="A798" s="283"/>
      <c r="C798" s="106"/>
      <c r="D798" s="107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</row>
    <row r="799" spans="1:97" s="7" customFormat="1" ht="13.2" x14ac:dyDescent="0.25">
      <c r="A799" s="283"/>
      <c r="C799" s="106"/>
      <c r="D799" s="107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</row>
    <row r="800" spans="1:97" s="7" customFormat="1" ht="13.2" x14ac:dyDescent="0.25">
      <c r="A800" s="283"/>
      <c r="C800" s="106"/>
      <c r="D800" s="107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</row>
    <row r="801" spans="1:97" s="7" customFormat="1" ht="13.2" x14ac:dyDescent="0.25">
      <c r="A801" s="283"/>
      <c r="C801" s="106"/>
      <c r="D801" s="107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</row>
    <row r="802" spans="1:97" s="7" customFormat="1" ht="13.2" x14ac:dyDescent="0.25">
      <c r="A802" s="283"/>
      <c r="C802" s="106"/>
      <c r="D802" s="107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</row>
    <row r="803" spans="1:97" s="7" customFormat="1" ht="13.2" x14ac:dyDescent="0.25">
      <c r="A803" s="283"/>
      <c r="C803" s="106"/>
      <c r="D803" s="107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</row>
    <row r="804" spans="1:97" s="7" customFormat="1" ht="13.2" x14ac:dyDescent="0.25">
      <c r="A804" s="283"/>
      <c r="C804" s="106"/>
      <c r="D804" s="107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</row>
    <row r="805" spans="1:97" s="7" customFormat="1" ht="13.2" x14ac:dyDescent="0.25">
      <c r="A805" s="283"/>
      <c r="C805" s="106"/>
      <c r="D805" s="107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</row>
    <row r="806" spans="1:97" s="7" customFormat="1" ht="13.2" x14ac:dyDescent="0.25">
      <c r="A806" s="283"/>
      <c r="C806" s="106"/>
      <c r="D806" s="107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</row>
    <row r="807" spans="1:97" s="7" customFormat="1" ht="13.2" x14ac:dyDescent="0.25">
      <c r="A807" s="283"/>
      <c r="C807" s="106"/>
      <c r="D807" s="1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</row>
    <row r="808" spans="1:97" s="7" customFormat="1" ht="13.2" x14ac:dyDescent="0.25">
      <c r="A808" s="283"/>
      <c r="C808" s="106"/>
      <c r="D808" s="107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</row>
    <row r="809" spans="1:97" s="7" customFormat="1" ht="13.2" x14ac:dyDescent="0.25">
      <c r="A809" s="283"/>
      <c r="C809" s="106"/>
      <c r="D809" s="107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</row>
    <row r="810" spans="1:97" s="7" customFormat="1" ht="13.2" x14ac:dyDescent="0.25">
      <c r="A810" s="283"/>
      <c r="C810" s="106"/>
      <c r="D810" s="107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</row>
    <row r="811" spans="1:97" s="7" customFormat="1" ht="13.2" x14ac:dyDescent="0.25">
      <c r="A811" s="283"/>
      <c r="C811" s="106"/>
      <c r="D811" s="107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</row>
    <row r="812" spans="1:97" s="7" customFormat="1" ht="13.2" x14ac:dyDescent="0.25">
      <c r="A812" s="283"/>
      <c r="C812" s="106"/>
      <c r="D812" s="107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</row>
    <row r="813" spans="1:97" s="7" customFormat="1" ht="13.2" x14ac:dyDescent="0.25">
      <c r="A813" s="283"/>
      <c r="C813" s="106"/>
      <c r="D813" s="107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</row>
    <row r="814" spans="1:97" s="7" customFormat="1" ht="13.2" x14ac:dyDescent="0.25">
      <c r="A814" s="283"/>
      <c r="C814" s="106"/>
      <c r="D814" s="107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</row>
    <row r="815" spans="1:97" s="7" customFormat="1" ht="13.2" x14ac:dyDescent="0.25">
      <c r="A815" s="283"/>
      <c r="C815" s="106"/>
      <c r="D815" s="107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</row>
    <row r="816" spans="1:97" s="7" customFormat="1" ht="13.2" x14ac:dyDescent="0.25">
      <c r="A816" s="283"/>
      <c r="C816" s="106"/>
      <c r="D816" s="107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</row>
    <row r="817" spans="1:97" s="7" customFormat="1" ht="13.2" x14ac:dyDescent="0.25">
      <c r="A817" s="283"/>
      <c r="C817" s="106"/>
      <c r="D817" s="10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</row>
    <row r="818" spans="1:97" s="7" customFormat="1" ht="13.2" x14ac:dyDescent="0.25">
      <c r="A818" s="283"/>
      <c r="C818" s="106"/>
      <c r="D818" s="107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</row>
    <row r="819" spans="1:97" s="7" customFormat="1" ht="13.2" x14ac:dyDescent="0.25">
      <c r="A819" s="283"/>
      <c r="C819" s="106"/>
      <c r="D819" s="107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</row>
    <row r="820" spans="1:97" s="7" customFormat="1" ht="13.2" x14ac:dyDescent="0.25">
      <c r="A820" s="283"/>
      <c r="C820" s="106"/>
      <c r="D820" s="107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</row>
    <row r="821" spans="1:97" s="7" customFormat="1" ht="13.2" x14ac:dyDescent="0.25">
      <c r="A821" s="283"/>
      <c r="C821" s="106"/>
      <c r="D821" s="107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</row>
    <row r="822" spans="1:97" s="7" customFormat="1" ht="13.2" x14ac:dyDescent="0.25">
      <c r="A822" s="283"/>
      <c r="C822" s="106"/>
      <c r="D822" s="107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</row>
    <row r="823" spans="1:97" s="7" customFormat="1" ht="13.2" x14ac:dyDescent="0.25">
      <c r="A823" s="283"/>
      <c r="C823" s="106"/>
      <c r="D823" s="107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</row>
    <row r="824" spans="1:97" s="7" customFormat="1" ht="13.2" x14ac:dyDescent="0.25">
      <c r="A824" s="283"/>
      <c r="C824" s="106"/>
      <c r="D824" s="107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</row>
    <row r="825" spans="1:97" s="7" customFormat="1" ht="13.2" x14ac:dyDescent="0.25">
      <c r="A825" s="283"/>
      <c r="C825" s="106"/>
      <c r="D825" s="107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</row>
    <row r="826" spans="1:97" s="7" customFormat="1" ht="13.2" x14ac:dyDescent="0.25">
      <c r="A826" s="283"/>
      <c r="C826" s="106"/>
      <c r="D826" s="107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</row>
    <row r="827" spans="1:97" s="7" customFormat="1" ht="13.2" x14ac:dyDescent="0.25">
      <c r="A827" s="283"/>
      <c r="C827" s="106"/>
      <c r="D827" s="10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</row>
    <row r="828" spans="1:97" s="7" customFormat="1" ht="13.2" x14ac:dyDescent="0.25">
      <c r="A828" s="283"/>
      <c r="C828" s="106"/>
      <c r="D828" s="107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</row>
    <row r="829" spans="1:97" s="7" customFormat="1" ht="13.2" x14ac:dyDescent="0.25">
      <c r="A829" s="283"/>
      <c r="C829" s="106"/>
      <c r="D829" s="107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</row>
    <row r="830" spans="1:97" s="7" customFormat="1" ht="13.2" x14ac:dyDescent="0.25">
      <c r="A830" s="283"/>
      <c r="C830" s="106"/>
      <c r="D830" s="107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</row>
    <row r="831" spans="1:97" s="7" customFormat="1" ht="13.2" x14ac:dyDescent="0.25">
      <c r="A831" s="283"/>
      <c r="C831" s="106"/>
      <c r="D831" s="107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</row>
    <row r="832" spans="1:97" s="7" customFormat="1" ht="13.2" x14ac:dyDescent="0.25">
      <c r="A832" s="283"/>
      <c r="C832" s="106"/>
      <c r="D832" s="107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</row>
    <row r="833" spans="1:97" s="7" customFormat="1" ht="13.2" x14ac:dyDescent="0.25">
      <c r="A833" s="283"/>
      <c r="C833" s="106"/>
      <c r="D833" s="107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</row>
    <row r="834" spans="1:97" s="7" customFormat="1" ht="13.2" x14ac:dyDescent="0.25">
      <c r="A834" s="283"/>
      <c r="C834" s="106"/>
      <c r="D834" s="107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</row>
    <row r="835" spans="1:97" s="7" customFormat="1" ht="13.2" x14ac:dyDescent="0.25">
      <c r="A835" s="283"/>
      <c r="C835" s="106"/>
      <c r="D835" s="107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</row>
    <row r="836" spans="1:97" s="7" customFormat="1" ht="13.2" x14ac:dyDescent="0.25">
      <c r="A836" s="283"/>
      <c r="C836" s="106"/>
      <c r="D836" s="107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</row>
    <row r="837" spans="1:97" s="7" customFormat="1" ht="13.2" x14ac:dyDescent="0.25">
      <c r="A837" s="283"/>
      <c r="C837" s="106"/>
      <c r="D837" s="10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</row>
    <row r="838" spans="1:97" s="7" customFormat="1" ht="13.2" x14ac:dyDescent="0.25">
      <c r="A838" s="283"/>
      <c r="C838" s="106"/>
      <c r="D838" s="107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</row>
    <row r="839" spans="1:97" s="7" customFormat="1" ht="13.2" x14ac:dyDescent="0.25">
      <c r="A839" s="283"/>
      <c r="C839" s="106"/>
      <c r="D839" s="107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</row>
    <row r="840" spans="1:97" s="7" customFormat="1" ht="13.2" x14ac:dyDescent="0.25">
      <c r="A840" s="283"/>
      <c r="C840" s="106"/>
      <c r="D840" s="107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</row>
    <row r="841" spans="1:97" s="7" customFormat="1" ht="13.2" x14ac:dyDescent="0.25">
      <c r="A841" s="283"/>
      <c r="C841" s="106"/>
      <c r="D841" s="107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</row>
    <row r="842" spans="1:97" s="7" customFormat="1" ht="13.2" x14ac:dyDescent="0.25">
      <c r="A842" s="283"/>
      <c r="C842" s="106"/>
      <c r="D842" s="107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</row>
    <row r="843" spans="1:97" s="7" customFormat="1" ht="13.2" x14ac:dyDescent="0.25">
      <c r="A843" s="283"/>
      <c r="C843" s="106"/>
      <c r="D843" s="107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</row>
    <row r="844" spans="1:97" s="7" customFormat="1" ht="13.2" x14ac:dyDescent="0.25">
      <c r="A844" s="283"/>
      <c r="C844" s="106"/>
      <c r="D844" s="107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</row>
    <row r="845" spans="1:97" s="7" customFormat="1" ht="13.2" x14ac:dyDescent="0.25">
      <c r="A845" s="283"/>
      <c r="C845" s="106"/>
      <c r="D845" s="107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</row>
    <row r="846" spans="1:97" s="7" customFormat="1" ht="13.2" x14ac:dyDescent="0.25">
      <c r="A846" s="283"/>
      <c r="C846" s="106"/>
      <c r="D846" s="107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</row>
    <row r="847" spans="1:97" s="7" customFormat="1" ht="13.2" x14ac:dyDescent="0.25">
      <c r="A847" s="283"/>
      <c r="C847" s="106"/>
      <c r="D847" s="10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</row>
    <row r="848" spans="1:97" s="7" customFormat="1" ht="13.2" x14ac:dyDescent="0.25">
      <c r="A848" s="283"/>
      <c r="C848" s="106"/>
      <c r="D848" s="107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</row>
    <row r="849" spans="1:97" s="7" customFormat="1" ht="13.2" x14ac:dyDescent="0.25">
      <c r="A849" s="283"/>
      <c r="C849" s="106"/>
      <c r="D849" s="107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</row>
    <row r="850" spans="1:97" s="7" customFormat="1" ht="13.2" x14ac:dyDescent="0.25">
      <c r="A850" s="283"/>
      <c r="C850" s="106"/>
      <c r="D850" s="107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</row>
    <row r="851" spans="1:97" s="7" customFormat="1" ht="13.2" x14ac:dyDescent="0.25">
      <c r="A851" s="283"/>
      <c r="C851" s="106"/>
      <c r="D851" s="107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</row>
    <row r="852" spans="1:97" s="7" customFormat="1" ht="13.2" x14ac:dyDescent="0.25">
      <c r="A852" s="283"/>
      <c r="C852" s="106"/>
      <c r="D852" s="107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</row>
    <row r="853" spans="1:97" s="7" customFormat="1" ht="13.2" x14ac:dyDescent="0.25">
      <c r="A853" s="283"/>
      <c r="C853" s="106"/>
      <c r="D853" s="107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</row>
    <row r="854" spans="1:97" s="7" customFormat="1" ht="13.2" x14ac:dyDescent="0.25">
      <c r="A854" s="283"/>
      <c r="C854" s="106"/>
      <c r="D854" s="107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</row>
    <row r="855" spans="1:97" s="7" customFormat="1" ht="13.2" x14ac:dyDescent="0.25">
      <c r="A855" s="283"/>
      <c r="C855" s="106"/>
      <c r="D855" s="107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</row>
    <row r="856" spans="1:97" s="7" customFormat="1" ht="13.2" x14ac:dyDescent="0.25">
      <c r="A856" s="283"/>
      <c r="C856" s="106"/>
      <c r="D856" s="107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</row>
    <row r="857" spans="1:97" s="7" customFormat="1" ht="13.2" x14ac:dyDescent="0.25">
      <c r="A857" s="283"/>
      <c r="C857" s="106"/>
      <c r="D857" s="10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</row>
    <row r="858" spans="1:97" s="7" customFormat="1" ht="13.2" x14ac:dyDescent="0.25">
      <c r="A858" s="283"/>
      <c r="C858" s="106"/>
      <c r="D858" s="107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</row>
    <row r="859" spans="1:97" s="7" customFormat="1" ht="13.2" x14ac:dyDescent="0.25">
      <c r="A859" s="283"/>
      <c r="C859" s="106"/>
      <c r="D859" s="107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</row>
    <row r="860" spans="1:97" s="7" customFormat="1" ht="13.2" x14ac:dyDescent="0.25">
      <c r="A860" s="283"/>
      <c r="C860" s="106"/>
      <c r="D860" s="107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</row>
    <row r="861" spans="1:97" s="7" customFormat="1" ht="13.2" x14ac:dyDescent="0.25">
      <c r="A861" s="283"/>
      <c r="C861" s="106"/>
      <c r="D861" s="107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</row>
    <row r="862" spans="1:97" s="7" customFormat="1" ht="13.2" x14ac:dyDescent="0.25">
      <c r="A862" s="283"/>
      <c r="C862" s="106"/>
      <c r="D862" s="107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</row>
    <row r="863" spans="1:97" s="7" customFormat="1" ht="13.2" x14ac:dyDescent="0.25">
      <c r="A863" s="283"/>
      <c r="C863" s="106"/>
      <c r="D863" s="107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</row>
    <row r="864" spans="1:97" s="7" customFormat="1" ht="13.2" x14ac:dyDescent="0.25">
      <c r="A864" s="283"/>
      <c r="C864" s="106"/>
      <c r="D864" s="107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</row>
    <row r="865" spans="1:97" s="7" customFormat="1" ht="13.2" x14ac:dyDescent="0.25">
      <c r="A865" s="283"/>
      <c r="C865" s="106"/>
      <c r="D865" s="107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</row>
    <row r="866" spans="1:97" s="7" customFormat="1" ht="13.2" x14ac:dyDescent="0.25">
      <c r="A866" s="283"/>
      <c r="C866" s="106"/>
      <c r="D866" s="107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</row>
    <row r="867" spans="1:97" s="7" customFormat="1" ht="13.2" x14ac:dyDescent="0.25">
      <c r="A867" s="283"/>
      <c r="C867" s="106"/>
      <c r="D867" s="10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</row>
    <row r="868" spans="1:97" s="7" customFormat="1" ht="13.2" x14ac:dyDescent="0.25">
      <c r="A868" s="283"/>
      <c r="C868" s="106"/>
      <c r="D868" s="107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</row>
    <row r="869" spans="1:97" s="7" customFormat="1" ht="13.2" x14ac:dyDescent="0.25">
      <c r="A869" s="283"/>
      <c r="C869" s="106"/>
      <c r="D869" s="107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</row>
    <row r="870" spans="1:97" s="7" customFormat="1" ht="13.2" x14ac:dyDescent="0.25">
      <c r="A870" s="283"/>
      <c r="C870" s="106"/>
      <c r="D870" s="107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</row>
    <row r="871" spans="1:97" s="7" customFormat="1" ht="13.2" x14ac:dyDescent="0.25">
      <c r="A871" s="283"/>
      <c r="C871" s="106"/>
      <c r="D871" s="107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</row>
    <row r="872" spans="1:97" s="7" customFormat="1" ht="13.2" x14ac:dyDescent="0.25">
      <c r="A872" s="283"/>
      <c r="C872" s="106"/>
      <c r="D872" s="107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</row>
    <row r="873" spans="1:97" s="7" customFormat="1" ht="13.2" x14ac:dyDescent="0.25">
      <c r="A873" s="283"/>
      <c r="C873" s="106"/>
      <c r="D873" s="107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</row>
    <row r="874" spans="1:97" s="7" customFormat="1" ht="13.2" x14ac:dyDescent="0.25">
      <c r="A874" s="283"/>
      <c r="C874" s="106"/>
      <c r="D874" s="107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</row>
    <row r="875" spans="1:97" s="7" customFormat="1" ht="13.2" x14ac:dyDescent="0.25">
      <c r="A875" s="283"/>
      <c r="C875" s="106"/>
      <c r="D875" s="107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</row>
    <row r="876" spans="1:97" s="7" customFormat="1" ht="13.2" x14ac:dyDescent="0.25">
      <c r="A876" s="283"/>
      <c r="C876" s="106"/>
      <c r="D876" s="107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</row>
    <row r="877" spans="1:97" s="7" customFormat="1" ht="13.2" x14ac:dyDescent="0.25">
      <c r="A877" s="283"/>
      <c r="C877" s="106"/>
      <c r="D877" s="10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</row>
    <row r="878" spans="1:97" s="7" customFormat="1" ht="13.2" x14ac:dyDescent="0.25">
      <c r="A878" s="283"/>
      <c r="C878" s="106"/>
      <c r="D878" s="107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</row>
    <row r="879" spans="1:97" s="7" customFormat="1" ht="13.2" x14ac:dyDescent="0.25">
      <c r="A879" s="283"/>
      <c r="C879" s="106"/>
      <c r="D879" s="107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</row>
    <row r="880" spans="1:97" s="7" customFormat="1" ht="13.2" x14ac:dyDescent="0.25">
      <c r="A880" s="283"/>
      <c r="C880" s="106"/>
      <c r="D880" s="107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</row>
    <row r="881" spans="1:97" s="7" customFormat="1" ht="13.2" x14ac:dyDescent="0.25">
      <c r="A881" s="283"/>
      <c r="C881" s="106"/>
      <c r="D881" s="107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</row>
    <row r="882" spans="1:97" s="7" customFormat="1" ht="13.2" x14ac:dyDescent="0.25">
      <c r="A882" s="283"/>
      <c r="C882" s="106"/>
      <c r="D882" s="107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</row>
    <row r="883" spans="1:97" s="7" customFormat="1" ht="13.2" x14ac:dyDescent="0.25">
      <c r="A883" s="283"/>
      <c r="C883" s="106"/>
      <c r="D883" s="107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</row>
    <row r="884" spans="1:97" s="7" customFormat="1" ht="13.2" x14ac:dyDescent="0.25">
      <c r="A884" s="283"/>
      <c r="C884" s="106"/>
      <c r="D884" s="107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</row>
    <row r="885" spans="1:97" s="7" customFormat="1" ht="13.2" x14ac:dyDescent="0.25">
      <c r="A885" s="283"/>
      <c r="C885" s="106"/>
      <c r="D885" s="107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</row>
    <row r="886" spans="1:97" s="7" customFormat="1" ht="13.2" x14ac:dyDescent="0.25">
      <c r="A886" s="283"/>
      <c r="C886" s="106"/>
      <c r="D886" s="107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</row>
    <row r="887" spans="1:97" s="7" customFormat="1" ht="13.2" x14ac:dyDescent="0.25">
      <c r="A887" s="283"/>
      <c r="C887" s="106"/>
      <c r="D887" s="10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</row>
    <row r="888" spans="1:97" s="7" customFormat="1" ht="13.2" x14ac:dyDescent="0.25">
      <c r="A888" s="283"/>
      <c r="C888" s="106"/>
      <c r="D888" s="107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</row>
    <row r="889" spans="1:97" s="7" customFormat="1" ht="13.2" x14ac:dyDescent="0.25">
      <c r="A889" s="283"/>
      <c r="C889" s="106"/>
      <c r="D889" s="107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</row>
    <row r="890" spans="1:97" s="7" customFormat="1" ht="13.2" x14ac:dyDescent="0.25">
      <c r="A890" s="283"/>
      <c r="C890" s="106"/>
      <c r="D890" s="107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</row>
    <row r="891" spans="1:97" s="7" customFormat="1" ht="13.2" x14ac:dyDescent="0.25">
      <c r="A891" s="283"/>
      <c r="C891" s="106"/>
      <c r="D891" s="107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</row>
    <row r="892" spans="1:97" s="7" customFormat="1" ht="13.2" x14ac:dyDescent="0.25">
      <c r="A892" s="283"/>
      <c r="C892" s="106"/>
      <c r="D892" s="107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</row>
    <row r="893" spans="1:97" s="7" customFormat="1" ht="13.2" x14ac:dyDescent="0.25">
      <c r="A893" s="283"/>
      <c r="C893" s="106"/>
      <c r="D893" s="107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</row>
    <row r="894" spans="1:97" s="7" customFormat="1" ht="13.2" x14ac:dyDescent="0.25">
      <c r="A894" s="283"/>
      <c r="C894" s="106"/>
      <c r="D894" s="107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</row>
    <row r="895" spans="1:97" s="7" customFormat="1" ht="13.2" x14ac:dyDescent="0.25">
      <c r="A895" s="283"/>
      <c r="C895" s="106"/>
      <c r="D895" s="107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</row>
    <row r="896" spans="1:97" s="7" customFormat="1" ht="13.2" x14ac:dyDescent="0.25">
      <c r="A896" s="283"/>
      <c r="C896" s="106"/>
      <c r="D896" s="107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</row>
    <row r="897" spans="1:97" s="7" customFormat="1" ht="13.2" x14ac:dyDescent="0.25">
      <c r="A897" s="283"/>
      <c r="C897" s="106"/>
      <c r="D897" s="10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</row>
    <row r="898" spans="1:97" s="7" customFormat="1" ht="13.2" x14ac:dyDescent="0.25">
      <c r="A898" s="283"/>
      <c r="C898" s="106"/>
      <c r="D898" s="107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</row>
    <row r="899" spans="1:97" s="7" customFormat="1" ht="13.2" x14ac:dyDescent="0.25">
      <c r="A899" s="283"/>
      <c r="C899" s="106"/>
      <c r="D899" s="107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</row>
    <row r="900" spans="1:97" s="7" customFormat="1" ht="13.2" x14ac:dyDescent="0.25">
      <c r="A900" s="283"/>
      <c r="C900" s="106"/>
      <c r="D900" s="107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</row>
    <row r="901" spans="1:97" s="7" customFormat="1" ht="13.2" x14ac:dyDescent="0.25">
      <c r="A901" s="283"/>
      <c r="C901" s="106"/>
      <c r="D901" s="107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</row>
    <row r="902" spans="1:97" s="7" customFormat="1" ht="13.2" x14ac:dyDescent="0.25">
      <c r="A902" s="283"/>
      <c r="C902" s="106"/>
      <c r="D902" s="107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</row>
    <row r="903" spans="1:97" s="7" customFormat="1" ht="13.2" x14ac:dyDescent="0.25">
      <c r="A903" s="283"/>
      <c r="C903" s="106"/>
      <c r="D903" s="107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</row>
    <row r="904" spans="1:97" s="7" customFormat="1" ht="13.2" x14ac:dyDescent="0.25">
      <c r="A904" s="283"/>
      <c r="C904" s="106"/>
      <c r="D904" s="107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</row>
    <row r="905" spans="1:97" s="7" customFormat="1" ht="13.2" x14ac:dyDescent="0.25">
      <c r="A905" s="283"/>
      <c r="C905" s="106"/>
      <c r="D905" s="107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</row>
    <row r="906" spans="1:97" s="7" customFormat="1" ht="13.2" x14ac:dyDescent="0.25">
      <c r="A906" s="283"/>
      <c r="C906" s="106"/>
      <c r="D906" s="107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</row>
    <row r="907" spans="1:97" s="7" customFormat="1" ht="13.2" x14ac:dyDescent="0.25">
      <c r="A907" s="283"/>
      <c r="C907" s="106"/>
      <c r="D907" s="1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</row>
    <row r="908" spans="1:97" s="7" customFormat="1" ht="13.2" x14ac:dyDescent="0.25">
      <c r="A908" s="283"/>
      <c r="C908" s="106"/>
      <c r="D908" s="107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</row>
    <row r="909" spans="1:97" s="7" customFormat="1" ht="13.2" x14ac:dyDescent="0.25">
      <c r="A909" s="283"/>
      <c r="C909" s="106"/>
      <c r="D909" s="107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</row>
    <row r="910" spans="1:97" s="7" customFormat="1" ht="13.2" x14ac:dyDescent="0.25">
      <c r="A910" s="283"/>
      <c r="C910" s="106"/>
      <c r="D910" s="107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</row>
    <row r="911" spans="1:97" s="7" customFormat="1" ht="13.2" x14ac:dyDescent="0.25">
      <c r="A911" s="283"/>
      <c r="C911" s="106"/>
      <c r="D911" s="107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</row>
    <row r="912" spans="1:97" s="7" customFormat="1" ht="13.2" x14ac:dyDescent="0.25">
      <c r="A912" s="283"/>
      <c r="C912" s="106"/>
      <c r="D912" s="107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</row>
    <row r="913" spans="1:97" s="7" customFormat="1" ht="13.2" x14ac:dyDescent="0.25">
      <c r="A913" s="283"/>
      <c r="C913" s="106"/>
      <c r="D913" s="107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</row>
    <row r="914" spans="1:97" s="7" customFormat="1" ht="13.2" x14ac:dyDescent="0.25">
      <c r="A914" s="283"/>
      <c r="C914" s="106"/>
      <c r="D914" s="107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</row>
    <row r="915" spans="1:97" s="7" customFormat="1" ht="13.2" x14ac:dyDescent="0.25">
      <c r="A915" s="283"/>
      <c r="C915" s="106"/>
      <c r="D915" s="107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</row>
    <row r="916" spans="1:97" s="7" customFormat="1" ht="13.2" x14ac:dyDescent="0.25">
      <c r="A916" s="283"/>
      <c r="C916" s="106"/>
      <c r="D916" s="107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</row>
    <row r="917" spans="1:97" s="7" customFormat="1" ht="13.2" x14ac:dyDescent="0.25">
      <c r="A917" s="283"/>
      <c r="C917" s="106"/>
      <c r="D917" s="10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</row>
    <row r="918" spans="1:97" s="7" customFormat="1" ht="13.2" x14ac:dyDescent="0.25">
      <c r="A918" s="283"/>
      <c r="C918" s="106"/>
      <c r="D918" s="107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</row>
    <row r="919" spans="1:97" s="7" customFormat="1" ht="13.2" x14ac:dyDescent="0.25">
      <c r="A919" s="283"/>
      <c r="C919" s="106"/>
      <c r="D919" s="107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</row>
    <row r="920" spans="1:97" s="7" customFormat="1" ht="13.2" x14ac:dyDescent="0.25">
      <c r="A920" s="283"/>
      <c r="C920" s="106"/>
      <c r="D920" s="107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</row>
    <row r="921" spans="1:97" s="7" customFormat="1" ht="13.2" x14ac:dyDescent="0.25">
      <c r="A921" s="283"/>
      <c r="C921" s="106"/>
      <c r="D921" s="107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</row>
    <row r="922" spans="1:97" s="7" customFormat="1" ht="13.2" x14ac:dyDescent="0.25">
      <c r="A922" s="283"/>
      <c r="C922" s="106"/>
      <c r="D922" s="107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</row>
    <row r="923" spans="1:97" s="7" customFormat="1" ht="13.2" x14ac:dyDescent="0.25">
      <c r="A923" s="283"/>
      <c r="C923" s="106"/>
      <c r="D923" s="107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</row>
    <row r="924" spans="1:97" s="7" customFormat="1" ht="13.2" x14ac:dyDescent="0.25">
      <c r="A924" s="283"/>
      <c r="C924" s="106"/>
      <c r="D924" s="107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</row>
    <row r="925" spans="1:97" s="7" customFormat="1" ht="13.2" x14ac:dyDescent="0.25">
      <c r="A925" s="283"/>
      <c r="C925" s="106"/>
      <c r="D925" s="107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</row>
    <row r="926" spans="1:97" s="7" customFormat="1" ht="13.2" x14ac:dyDescent="0.25">
      <c r="A926" s="283"/>
      <c r="C926" s="106"/>
      <c r="D926" s="107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</row>
    <row r="927" spans="1:97" s="7" customFormat="1" ht="13.2" x14ac:dyDescent="0.25">
      <c r="A927" s="283"/>
      <c r="C927" s="106"/>
      <c r="D927" s="10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</row>
    <row r="928" spans="1:97" s="7" customFormat="1" ht="13.2" x14ac:dyDescent="0.25">
      <c r="A928" s="283"/>
      <c r="C928" s="106"/>
      <c r="D928" s="107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</row>
    <row r="929" spans="1:97" s="7" customFormat="1" ht="13.2" x14ac:dyDescent="0.25">
      <c r="A929" s="283"/>
      <c r="C929" s="106"/>
      <c r="D929" s="107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</row>
    <row r="930" spans="1:97" s="7" customFormat="1" ht="13.2" x14ac:dyDescent="0.25">
      <c r="A930" s="283"/>
      <c r="C930" s="106"/>
      <c r="D930" s="107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</row>
    <row r="931" spans="1:97" s="7" customFormat="1" ht="13.2" x14ac:dyDescent="0.25">
      <c r="A931" s="283"/>
      <c r="C931" s="106"/>
      <c r="D931" s="107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</row>
    <row r="932" spans="1:97" s="7" customFormat="1" ht="13.2" x14ac:dyDescent="0.25">
      <c r="A932" s="283"/>
      <c r="C932" s="106"/>
      <c r="D932" s="107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</row>
    <row r="933" spans="1:97" s="7" customFormat="1" ht="13.2" x14ac:dyDescent="0.25">
      <c r="A933" s="283"/>
      <c r="C933" s="106"/>
      <c r="D933" s="107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</row>
    <row r="934" spans="1:97" s="7" customFormat="1" ht="13.2" x14ac:dyDescent="0.25">
      <c r="A934" s="283"/>
      <c r="C934" s="106"/>
      <c r="D934" s="107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</row>
    <row r="935" spans="1:97" s="7" customFormat="1" ht="13.2" x14ac:dyDescent="0.25">
      <c r="A935" s="283"/>
      <c r="C935" s="106"/>
      <c r="D935" s="107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</row>
    <row r="936" spans="1:97" s="7" customFormat="1" ht="13.2" x14ac:dyDescent="0.25">
      <c r="A936" s="283"/>
      <c r="C936" s="106"/>
      <c r="D936" s="107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</row>
    <row r="937" spans="1:97" s="7" customFormat="1" ht="13.2" x14ac:dyDescent="0.25">
      <c r="A937" s="283"/>
      <c r="C937" s="106"/>
      <c r="D937" s="10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</row>
    <row r="938" spans="1:97" s="7" customFormat="1" ht="13.2" x14ac:dyDescent="0.25">
      <c r="A938" s="283"/>
      <c r="C938" s="106"/>
      <c r="D938" s="107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</row>
    <row r="939" spans="1:97" s="7" customFormat="1" ht="13.2" x14ac:dyDescent="0.25">
      <c r="A939" s="283"/>
      <c r="C939" s="106"/>
      <c r="D939" s="107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</row>
    <row r="940" spans="1:97" s="7" customFormat="1" ht="13.2" x14ac:dyDescent="0.25">
      <c r="A940" s="283"/>
      <c r="C940" s="106"/>
      <c r="D940" s="107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</row>
    <row r="941" spans="1:97" s="7" customFormat="1" ht="13.2" x14ac:dyDescent="0.25">
      <c r="A941" s="283"/>
      <c r="C941" s="106"/>
      <c r="D941" s="107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</row>
    <row r="942" spans="1:97" s="7" customFormat="1" ht="13.2" x14ac:dyDescent="0.25">
      <c r="A942" s="283"/>
      <c r="C942" s="106"/>
      <c r="D942" s="107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</row>
    <row r="943" spans="1:97" s="7" customFormat="1" ht="13.2" x14ac:dyDescent="0.25">
      <c r="A943" s="283"/>
      <c r="C943" s="106"/>
      <c r="D943" s="107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</row>
    <row r="944" spans="1:97" s="7" customFormat="1" ht="13.2" x14ac:dyDescent="0.25">
      <c r="A944" s="283"/>
      <c r="C944" s="106"/>
      <c r="D944" s="107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</row>
    <row r="945" spans="1:97" s="7" customFormat="1" ht="13.2" x14ac:dyDescent="0.25">
      <c r="A945" s="283"/>
      <c r="C945" s="106"/>
      <c r="D945" s="107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</row>
    <row r="946" spans="1:97" s="7" customFormat="1" ht="13.2" x14ac:dyDescent="0.25">
      <c r="A946" s="283"/>
      <c r="C946" s="106"/>
      <c r="D946" s="107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</row>
    <row r="947" spans="1:97" s="7" customFormat="1" ht="13.2" x14ac:dyDescent="0.25">
      <c r="A947" s="283"/>
      <c r="C947" s="106"/>
      <c r="D947" s="10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</row>
    <row r="948" spans="1:97" s="7" customFormat="1" ht="13.2" x14ac:dyDescent="0.25">
      <c r="A948" s="283"/>
      <c r="C948" s="106"/>
      <c r="D948" s="107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</row>
    <row r="949" spans="1:97" s="7" customFormat="1" ht="13.2" x14ac:dyDescent="0.25">
      <c r="A949" s="283"/>
      <c r="C949" s="106"/>
      <c r="D949" s="107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</row>
    <row r="950" spans="1:97" s="7" customFormat="1" ht="13.2" x14ac:dyDescent="0.25">
      <c r="A950" s="283"/>
      <c r="C950" s="106"/>
      <c r="D950" s="107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</row>
    <row r="951" spans="1:97" s="7" customFormat="1" ht="13.2" x14ac:dyDescent="0.25">
      <c r="A951" s="283"/>
      <c r="C951" s="106"/>
      <c r="D951" s="107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</row>
    <row r="952" spans="1:97" s="7" customFormat="1" ht="13.2" x14ac:dyDescent="0.25">
      <c r="A952" s="283"/>
      <c r="C952" s="106"/>
      <c r="D952" s="107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</row>
    <row r="953" spans="1:97" s="7" customFormat="1" ht="13.2" x14ac:dyDescent="0.25">
      <c r="A953" s="283"/>
      <c r="C953" s="106"/>
      <c r="D953" s="107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</row>
    <row r="954" spans="1:97" s="7" customFormat="1" ht="13.2" x14ac:dyDescent="0.25">
      <c r="A954" s="283"/>
      <c r="C954" s="106"/>
      <c r="D954" s="107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</row>
    <row r="955" spans="1:97" s="7" customFormat="1" ht="13.2" x14ac:dyDescent="0.25">
      <c r="A955" s="283"/>
      <c r="C955" s="106"/>
      <c r="D955" s="107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</row>
    <row r="956" spans="1:97" s="7" customFormat="1" ht="13.2" x14ac:dyDescent="0.25">
      <c r="A956" s="283"/>
      <c r="C956" s="106"/>
      <c r="D956" s="107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</row>
    <row r="957" spans="1:97" s="7" customFormat="1" ht="13.2" x14ac:dyDescent="0.25">
      <c r="A957" s="283"/>
      <c r="C957" s="106"/>
      <c r="D957" s="10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</row>
    <row r="958" spans="1:97" s="7" customFormat="1" ht="13.2" x14ac:dyDescent="0.25">
      <c r="A958" s="283"/>
      <c r="C958" s="106"/>
      <c r="D958" s="107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</row>
    <row r="959" spans="1:97" s="7" customFormat="1" ht="13.2" x14ac:dyDescent="0.25">
      <c r="A959" s="283"/>
      <c r="C959" s="106"/>
      <c r="D959" s="107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</row>
    <row r="960" spans="1:97" s="7" customFormat="1" ht="13.2" x14ac:dyDescent="0.25">
      <c r="A960" s="283"/>
      <c r="C960" s="106"/>
      <c r="D960" s="107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</row>
    <row r="961" spans="1:97" s="7" customFormat="1" ht="13.2" x14ac:dyDescent="0.25">
      <c r="A961" s="283"/>
      <c r="C961" s="106"/>
      <c r="D961" s="107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</row>
    <row r="962" spans="1:97" s="7" customFormat="1" ht="13.2" x14ac:dyDescent="0.25">
      <c r="A962" s="283"/>
      <c r="C962" s="106"/>
      <c r="D962" s="107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</row>
    <row r="963" spans="1:97" s="7" customFormat="1" ht="13.2" x14ac:dyDescent="0.25">
      <c r="A963" s="283"/>
      <c r="C963" s="106"/>
      <c r="D963" s="107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</row>
    <row r="964" spans="1:97" s="7" customFormat="1" ht="13.2" x14ac:dyDescent="0.25">
      <c r="A964" s="283"/>
      <c r="C964" s="106"/>
      <c r="D964" s="107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</row>
    <row r="965" spans="1:97" s="7" customFormat="1" ht="13.2" x14ac:dyDescent="0.25">
      <c r="A965" s="283"/>
      <c r="C965" s="106"/>
      <c r="D965" s="107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</row>
    <row r="966" spans="1:97" s="7" customFormat="1" ht="13.2" x14ac:dyDescent="0.25">
      <c r="A966" s="283"/>
      <c r="C966" s="106"/>
      <c r="D966" s="107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</row>
    <row r="967" spans="1:97" s="7" customFormat="1" ht="13.2" x14ac:dyDescent="0.25">
      <c r="A967" s="283"/>
      <c r="C967" s="106"/>
      <c r="D967" s="10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</row>
    <row r="968" spans="1:97" s="7" customFormat="1" ht="13.2" x14ac:dyDescent="0.25">
      <c r="A968" s="283"/>
      <c r="C968" s="106"/>
      <c r="D968" s="107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</row>
    <row r="969" spans="1:97" s="7" customFormat="1" ht="13.2" x14ac:dyDescent="0.25">
      <c r="A969" s="283"/>
      <c r="C969" s="106"/>
      <c r="D969" s="107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</row>
    <row r="970" spans="1:97" s="7" customFormat="1" ht="13.2" x14ac:dyDescent="0.25">
      <c r="A970" s="283"/>
      <c r="C970" s="106"/>
      <c r="D970" s="107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</row>
    <row r="971" spans="1:97" s="7" customFormat="1" ht="13.2" x14ac:dyDescent="0.25">
      <c r="A971" s="283"/>
      <c r="C971" s="106"/>
      <c r="D971" s="107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</row>
    <row r="972" spans="1:97" s="7" customFormat="1" ht="13.2" x14ac:dyDescent="0.25">
      <c r="A972" s="283"/>
      <c r="C972" s="106"/>
      <c r="D972" s="107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</row>
    <row r="973" spans="1:97" s="7" customFormat="1" ht="13.2" x14ac:dyDescent="0.25">
      <c r="A973" s="283"/>
      <c r="C973" s="106"/>
      <c r="D973" s="107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</row>
    <row r="974" spans="1:97" s="7" customFormat="1" ht="13.2" x14ac:dyDescent="0.25">
      <c r="A974" s="283"/>
      <c r="C974" s="106"/>
      <c r="D974" s="107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</row>
    <row r="975" spans="1:97" s="7" customFormat="1" ht="13.2" x14ac:dyDescent="0.25">
      <c r="A975" s="283"/>
      <c r="C975" s="106"/>
      <c r="D975" s="107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</row>
    <row r="976" spans="1:97" s="7" customFormat="1" ht="13.2" x14ac:dyDescent="0.25">
      <c r="A976" s="283"/>
      <c r="C976" s="106"/>
      <c r="D976" s="107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</row>
    <row r="977" spans="1:97" s="7" customFormat="1" ht="13.2" x14ac:dyDescent="0.25">
      <c r="A977" s="283"/>
      <c r="C977" s="106"/>
      <c r="D977" s="10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</row>
    <row r="978" spans="1:97" s="7" customFormat="1" ht="13.2" x14ac:dyDescent="0.25">
      <c r="A978" s="283"/>
      <c r="C978" s="106"/>
      <c r="D978" s="107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</row>
    <row r="979" spans="1:97" s="7" customFormat="1" ht="13.2" x14ac:dyDescent="0.25">
      <c r="A979" s="283"/>
      <c r="C979" s="106"/>
      <c r="D979" s="107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</row>
    <row r="980" spans="1:97" s="7" customFormat="1" ht="13.2" x14ac:dyDescent="0.25">
      <c r="A980" s="283"/>
      <c r="C980" s="106"/>
      <c r="D980" s="107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</row>
    <row r="981" spans="1:97" s="7" customFormat="1" ht="13.2" x14ac:dyDescent="0.25">
      <c r="A981" s="283"/>
      <c r="C981" s="106"/>
      <c r="D981" s="107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</row>
    <row r="982" spans="1:97" s="7" customFormat="1" ht="13.2" x14ac:dyDescent="0.25">
      <c r="A982" s="283"/>
      <c r="C982" s="106"/>
      <c r="D982" s="107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</row>
    <row r="983" spans="1:97" s="7" customFormat="1" ht="13.2" x14ac:dyDescent="0.25">
      <c r="A983" s="283"/>
      <c r="C983" s="106"/>
      <c r="D983" s="107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</row>
    <row r="984" spans="1:97" s="7" customFormat="1" ht="13.2" x14ac:dyDescent="0.25">
      <c r="A984" s="283"/>
      <c r="C984" s="106"/>
      <c r="D984" s="107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</row>
    <row r="985" spans="1:97" s="7" customFormat="1" ht="13.2" x14ac:dyDescent="0.25">
      <c r="A985" s="283"/>
      <c r="C985" s="106"/>
      <c r="D985" s="107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</row>
    <row r="986" spans="1:97" s="7" customFormat="1" ht="13.2" x14ac:dyDescent="0.25">
      <c r="A986" s="283"/>
      <c r="C986" s="106"/>
      <c r="D986" s="107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</row>
    <row r="987" spans="1:97" s="7" customFormat="1" ht="13.2" x14ac:dyDescent="0.25">
      <c r="A987" s="283"/>
      <c r="C987" s="106"/>
      <c r="D987" s="10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</row>
    <row r="988" spans="1:97" s="7" customFormat="1" ht="13.2" x14ac:dyDescent="0.25">
      <c r="A988" s="283"/>
      <c r="C988" s="106"/>
      <c r="D988" s="107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</row>
    <row r="989" spans="1:97" s="7" customFormat="1" ht="13.2" x14ac:dyDescent="0.25">
      <c r="A989" s="283"/>
      <c r="C989" s="106"/>
      <c r="D989" s="107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</row>
    <row r="990" spans="1:97" s="7" customFormat="1" ht="13.2" x14ac:dyDescent="0.25">
      <c r="A990" s="283"/>
      <c r="C990" s="106"/>
      <c r="D990" s="107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</row>
    <row r="991" spans="1:97" s="7" customFormat="1" ht="13.2" x14ac:dyDescent="0.25">
      <c r="A991" s="283"/>
      <c r="C991" s="106"/>
      <c r="D991" s="107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</row>
    <row r="992" spans="1:97" s="7" customFormat="1" ht="13.2" x14ac:dyDescent="0.25">
      <c r="A992" s="283"/>
      <c r="C992" s="106"/>
      <c r="D992" s="107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</row>
    <row r="993" spans="1:97" s="7" customFormat="1" ht="13.2" x14ac:dyDescent="0.25">
      <c r="A993" s="283"/>
      <c r="C993" s="106"/>
      <c r="D993" s="107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</row>
    <row r="994" spans="1:97" s="7" customFormat="1" ht="13.2" x14ac:dyDescent="0.25">
      <c r="A994" s="283"/>
      <c r="C994" s="106"/>
      <c r="D994" s="107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</row>
    <row r="995" spans="1:97" s="7" customFormat="1" ht="13.2" x14ac:dyDescent="0.25">
      <c r="A995" s="283"/>
      <c r="C995" s="106"/>
      <c r="D995" s="107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</row>
    <row r="996" spans="1:97" s="7" customFormat="1" ht="13.2" x14ac:dyDescent="0.25">
      <c r="A996" s="283"/>
      <c r="C996" s="106"/>
      <c r="D996" s="107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</row>
    <row r="997" spans="1:97" s="7" customFormat="1" ht="13.2" x14ac:dyDescent="0.25">
      <c r="A997" s="283"/>
      <c r="C997" s="106"/>
      <c r="D997" s="10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</row>
    <row r="998" spans="1:97" s="7" customFormat="1" ht="13.2" x14ac:dyDescent="0.25">
      <c r="A998" s="283"/>
      <c r="C998" s="106"/>
      <c r="D998" s="107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</row>
    <row r="999" spans="1:97" s="7" customFormat="1" ht="13.2" x14ac:dyDescent="0.25">
      <c r="A999" s="283"/>
      <c r="C999" s="106"/>
      <c r="D999" s="107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</row>
    <row r="1000" spans="1:97" s="7" customFormat="1" ht="13.2" x14ac:dyDescent="0.25">
      <c r="A1000" s="283"/>
      <c r="C1000" s="106"/>
      <c r="D1000" s="107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</row>
    <row r="1001" spans="1:97" s="7" customFormat="1" ht="13.2" x14ac:dyDescent="0.25">
      <c r="A1001" s="283"/>
      <c r="C1001" s="106"/>
      <c r="D1001" s="107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</row>
    <row r="1002" spans="1:97" s="7" customFormat="1" ht="13.2" x14ac:dyDescent="0.25">
      <c r="A1002" s="283"/>
      <c r="C1002" s="106"/>
      <c r="D1002" s="107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</row>
    <row r="1003" spans="1:97" s="7" customFormat="1" ht="13.2" x14ac:dyDescent="0.25">
      <c r="A1003" s="283"/>
      <c r="C1003" s="106"/>
      <c r="D1003" s="107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</row>
    <row r="1004" spans="1:97" s="7" customFormat="1" ht="13.2" x14ac:dyDescent="0.25">
      <c r="A1004" s="283"/>
      <c r="C1004" s="106"/>
      <c r="D1004" s="107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</row>
    <row r="1005" spans="1:97" s="7" customFormat="1" ht="13.2" x14ac:dyDescent="0.25">
      <c r="A1005" s="283"/>
      <c r="C1005" s="106"/>
      <c r="D1005" s="107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</row>
    <row r="1006" spans="1:97" s="7" customFormat="1" ht="13.2" x14ac:dyDescent="0.25">
      <c r="A1006" s="283"/>
      <c r="C1006" s="106"/>
      <c r="D1006" s="107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</row>
    <row r="1007" spans="1:97" s="7" customFormat="1" ht="13.2" x14ac:dyDescent="0.25">
      <c r="A1007" s="283"/>
      <c r="C1007" s="106"/>
      <c r="D1007" s="1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</row>
    <row r="1008" spans="1:97" s="7" customFormat="1" ht="13.2" x14ac:dyDescent="0.25">
      <c r="A1008" s="283"/>
      <c r="C1008" s="106"/>
      <c r="D1008" s="107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</row>
    <row r="1009" spans="1:97" s="7" customFormat="1" ht="13.2" x14ac:dyDescent="0.25">
      <c r="A1009" s="283"/>
      <c r="C1009" s="106"/>
      <c r="D1009" s="107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</row>
    <row r="1010" spans="1:97" s="7" customFormat="1" ht="13.2" x14ac:dyDescent="0.25">
      <c r="A1010" s="283"/>
      <c r="C1010" s="106"/>
      <c r="D1010" s="107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</row>
    <row r="1011" spans="1:97" s="7" customFormat="1" ht="13.2" x14ac:dyDescent="0.25">
      <c r="A1011" s="283"/>
      <c r="C1011" s="106"/>
      <c r="D1011" s="107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</row>
    <row r="1012" spans="1:97" s="7" customFormat="1" ht="13.2" x14ac:dyDescent="0.25">
      <c r="A1012" s="283"/>
      <c r="C1012" s="106"/>
      <c r="D1012" s="107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</row>
    <row r="1013" spans="1:97" s="7" customFormat="1" ht="13.2" x14ac:dyDescent="0.25">
      <c r="A1013" s="283"/>
      <c r="C1013" s="106"/>
      <c r="D1013" s="107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</row>
    <row r="1014" spans="1:97" s="7" customFormat="1" ht="13.2" x14ac:dyDescent="0.25">
      <c r="A1014" s="283"/>
      <c r="C1014" s="106"/>
      <c r="D1014" s="107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</row>
    <row r="1015" spans="1:97" s="7" customFormat="1" ht="13.2" x14ac:dyDescent="0.25">
      <c r="A1015" s="283"/>
      <c r="C1015" s="106"/>
      <c r="D1015" s="107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</row>
    <row r="1016" spans="1:97" s="7" customFormat="1" ht="13.2" x14ac:dyDescent="0.25">
      <c r="A1016" s="283"/>
      <c r="C1016" s="106"/>
      <c r="D1016" s="107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</row>
    <row r="1017" spans="1:97" s="7" customFormat="1" ht="13.2" x14ac:dyDescent="0.25">
      <c r="A1017" s="283"/>
      <c r="C1017" s="106"/>
      <c r="D1017" s="10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</row>
    <row r="1018" spans="1:97" s="7" customFormat="1" ht="13.2" x14ac:dyDescent="0.25">
      <c r="A1018" s="283"/>
      <c r="C1018" s="106"/>
      <c r="D1018" s="107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</row>
    <row r="1019" spans="1:97" s="7" customFormat="1" ht="13.2" x14ac:dyDescent="0.25">
      <c r="A1019" s="283"/>
      <c r="C1019" s="106"/>
      <c r="D1019" s="107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</row>
    <row r="1020" spans="1:97" s="7" customFormat="1" ht="13.2" x14ac:dyDescent="0.25">
      <c r="A1020" s="283"/>
      <c r="C1020" s="106"/>
      <c r="D1020" s="107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</row>
    <row r="1021" spans="1:97" s="7" customFormat="1" ht="13.2" x14ac:dyDescent="0.25">
      <c r="A1021" s="283"/>
      <c r="C1021" s="106"/>
      <c r="D1021" s="107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</row>
    <row r="1022" spans="1:97" s="7" customFormat="1" ht="13.2" x14ac:dyDescent="0.25">
      <c r="A1022" s="283"/>
      <c r="C1022" s="106"/>
      <c r="D1022" s="107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</row>
    <row r="1023" spans="1:97" s="7" customFormat="1" ht="13.2" x14ac:dyDescent="0.25">
      <c r="A1023" s="283"/>
      <c r="C1023" s="106"/>
      <c r="D1023" s="107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</row>
    <row r="1024" spans="1:97" s="7" customFormat="1" ht="13.2" x14ac:dyDescent="0.25">
      <c r="A1024" s="283"/>
      <c r="C1024" s="106"/>
      <c r="D1024" s="107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</row>
    <row r="1025" spans="1:97" s="7" customFormat="1" ht="13.2" x14ac:dyDescent="0.25">
      <c r="A1025" s="283"/>
      <c r="C1025" s="106"/>
      <c r="D1025" s="107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</row>
    <row r="1026" spans="1:97" s="7" customFormat="1" ht="13.2" x14ac:dyDescent="0.25">
      <c r="A1026" s="283"/>
      <c r="C1026" s="106"/>
      <c r="D1026" s="107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</row>
    <row r="1027" spans="1:97" s="7" customFormat="1" ht="13.2" x14ac:dyDescent="0.25">
      <c r="A1027" s="283"/>
      <c r="C1027" s="106"/>
      <c r="D1027" s="10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</row>
    <row r="1028" spans="1:97" s="7" customFormat="1" ht="13.2" x14ac:dyDescent="0.25">
      <c r="A1028" s="283"/>
      <c r="C1028" s="106"/>
      <c r="D1028" s="107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</row>
    <row r="1029" spans="1:97" s="7" customFormat="1" ht="13.2" x14ac:dyDescent="0.25">
      <c r="A1029" s="283"/>
      <c r="C1029" s="106"/>
      <c r="D1029" s="107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</row>
    <row r="1030" spans="1:97" s="7" customFormat="1" ht="13.2" x14ac:dyDescent="0.25">
      <c r="A1030" s="283"/>
      <c r="C1030" s="106"/>
      <c r="D1030" s="107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</row>
    <row r="1031" spans="1:97" s="7" customFormat="1" ht="13.2" x14ac:dyDescent="0.25">
      <c r="A1031" s="283"/>
      <c r="C1031" s="106"/>
      <c r="D1031" s="107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</row>
  </sheetData>
  <mergeCells count="221">
    <mergeCell ref="B1:D3"/>
    <mergeCell ref="E1:G3"/>
    <mergeCell ref="E47:F47"/>
    <mergeCell ref="BZ47:CF47"/>
    <mergeCell ref="CG47:CM47"/>
    <mergeCell ref="CN96:CS96"/>
    <mergeCell ref="E32:F32"/>
    <mergeCell ref="E33:F33"/>
    <mergeCell ref="E24:F24"/>
    <mergeCell ref="E25:F25"/>
    <mergeCell ref="E71:F71"/>
    <mergeCell ref="E72:F72"/>
    <mergeCell ref="AJ95:AP95"/>
    <mergeCell ref="E61:F61"/>
    <mergeCell ref="E46:F46"/>
    <mergeCell ref="AX96:BD96"/>
    <mergeCell ref="BE96:BK96"/>
    <mergeCell ref="BL96:BR96"/>
    <mergeCell ref="BS96:BY96"/>
    <mergeCell ref="BZ96:CF96"/>
    <mergeCell ref="CG96:CM96"/>
    <mergeCell ref="E94:F94"/>
    <mergeCell ref="AQ94:AW94"/>
    <mergeCell ref="AX94:BD94"/>
    <mergeCell ref="B96:F96"/>
    <mergeCell ref="H96:N96"/>
    <mergeCell ref="O96:U96"/>
    <mergeCell ref="V96:AB96"/>
    <mergeCell ref="AC96:AI96"/>
    <mergeCell ref="AJ96:AP96"/>
    <mergeCell ref="AQ96:AW96"/>
    <mergeCell ref="B91:G91"/>
    <mergeCell ref="E92:F92"/>
    <mergeCell ref="AC92:AI92"/>
    <mergeCell ref="AJ92:AP92"/>
    <mergeCell ref="AQ92:AW92"/>
    <mergeCell ref="E93:F93"/>
    <mergeCell ref="AC93:AI93"/>
    <mergeCell ref="AJ93:AP93"/>
    <mergeCell ref="E95:F95"/>
    <mergeCell ref="B87:G87"/>
    <mergeCell ref="BS88:BY88"/>
    <mergeCell ref="BZ88:CF88"/>
    <mergeCell ref="E90:F90"/>
    <mergeCell ref="BS90:BY90"/>
    <mergeCell ref="BZ90:CF90"/>
    <mergeCell ref="E88:F88"/>
    <mergeCell ref="B84:G84"/>
    <mergeCell ref="E85:F85"/>
    <mergeCell ref="BZ85:CF85"/>
    <mergeCell ref="E89:F89"/>
    <mergeCell ref="BS89:BY89"/>
    <mergeCell ref="BZ89:CF89"/>
    <mergeCell ref="CG85:CM85"/>
    <mergeCell ref="E86:F86"/>
    <mergeCell ref="BE86:BK86"/>
    <mergeCell ref="AJ81:AP81"/>
    <mergeCell ref="AQ81:AW81"/>
    <mergeCell ref="AJ82:AP82"/>
    <mergeCell ref="AQ82:AW82"/>
    <mergeCell ref="AJ83:AP83"/>
    <mergeCell ref="AQ83:AW83"/>
    <mergeCell ref="E81:F81"/>
    <mergeCell ref="E82:F82"/>
    <mergeCell ref="E83:F83"/>
    <mergeCell ref="CG76:CM76"/>
    <mergeCell ref="BL77:BR77"/>
    <mergeCell ref="BE78:BK78"/>
    <mergeCell ref="B79:G79"/>
    <mergeCell ref="AJ80:AP80"/>
    <mergeCell ref="AQ80:AW80"/>
    <mergeCell ref="BL71:BR71"/>
    <mergeCell ref="BL72:BR72"/>
    <mergeCell ref="B73:G73"/>
    <mergeCell ref="BZ74:CF74"/>
    <mergeCell ref="BL75:BR75"/>
    <mergeCell ref="BL76:BR76"/>
    <mergeCell ref="BS76:BY76"/>
    <mergeCell ref="BZ76:CF76"/>
    <mergeCell ref="E74:F74"/>
    <mergeCell ref="E75:F75"/>
    <mergeCell ref="E76:F76"/>
    <mergeCell ref="E77:F77"/>
    <mergeCell ref="E78:F78"/>
    <mergeCell ref="E80:F80"/>
    <mergeCell ref="E66:F66"/>
    <mergeCell ref="BS66:BY66"/>
    <mergeCell ref="B69:G69"/>
    <mergeCell ref="E70:F70"/>
    <mergeCell ref="BS70:BY70"/>
    <mergeCell ref="BZ70:CF70"/>
    <mergeCell ref="BS60:BY60"/>
    <mergeCell ref="BZ61:CF61"/>
    <mergeCell ref="E62:F62"/>
    <mergeCell ref="E63:F63"/>
    <mergeCell ref="BS63:BY63"/>
    <mergeCell ref="E67:F67"/>
    <mergeCell ref="E68:F68"/>
    <mergeCell ref="BZ67:CF67"/>
    <mergeCell ref="BZ68:CF68"/>
    <mergeCell ref="CG62:CM62"/>
    <mergeCell ref="B64:G64"/>
    <mergeCell ref="E65:F65"/>
    <mergeCell ref="BZ65:CF65"/>
    <mergeCell ref="CG65:CM65"/>
    <mergeCell ref="B57:G57"/>
    <mergeCell ref="E58:F58"/>
    <mergeCell ref="CG58:CM58"/>
    <mergeCell ref="E59:F59"/>
    <mergeCell ref="CG59:CM59"/>
    <mergeCell ref="E60:F60"/>
    <mergeCell ref="B54:G54"/>
    <mergeCell ref="E55:F55"/>
    <mergeCell ref="BE55:BK55"/>
    <mergeCell ref="BL55:BR55"/>
    <mergeCell ref="BS55:BY55"/>
    <mergeCell ref="E56:F56"/>
    <mergeCell ref="BE56:BK56"/>
    <mergeCell ref="BL56:BR56"/>
    <mergeCell ref="BS56:BY56"/>
    <mergeCell ref="E52:F52"/>
    <mergeCell ref="BZ52:CF52"/>
    <mergeCell ref="CG52:CM52"/>
    <mergeCell ref="E53:F53"/>
    <mergeCell ref="BZ53:CF53"/>
    <mergeCell ref="CG53:CM53"/>
    <mergeCell ref="CG49:CM49"/>
    <mergeCell ref="E50:F50"/>
    <mergeCell ref="BZ50:CF50"/>
    <mergeCell ref="CG50:CM50"/>
    <mergeCell ref="E51:F51"/>
    <mergeCell ref="BZ51:CF51"/>
    <mergeCell ref="CG51:CM51"/>
    <mergeCell ref="BL45:BR45"/>
    <mergeCell ref="BS45:BY45"/>
    <mergeCell ref="AX46:BD46"/>
    <mergeCell ref="B48:G48"/>
    <mergeCell ref="E49:F49"/>
    <mergeCell ref="BZ49:CF49"/>
    <mergeCell ref="AX40:BD40"/>
    <mergeCell ref="BZ41:CF41"/>
    <mergeCell ref="B42:G42"/>
    <mergeCell ref="BL43:BR43"/>
    <mergeCell ref="BS43:BY43"/>
    <mergeCell ref="BE44:BK44"/>
    <mergeCell ref="E41:F41"/>
    <mergeCell ref="E40:F40"/>
    <mergeCell ref="E43:F43"/>
    <mergeCell ref="E44:F44"/>
    <mergeCell ref="E45:F45"/>
    <mergeCell ref="BE37:BK37"/>
    <mergeCell ref="BL37:BR37"/>
    <mergeCell ref="BS37:BY37"/>
    <mergeCell ref="E38:F38"/>
    <mergeCell ref="BZ38:CF38"/>
    <mergeCell ref="E39:F39"/>
    <mergeCell ref="AX39:BD39"/>
    <mergeCell ref="BZ33:CF33"/>
    <mergeCell ref="B34:G34"/>
    <mergeCell ref="BE35:BK35"/>
    <mergeCell ref="BL35:BR35"/>
    <mergeCell ref="BS35:BY35"/>
    <mergeCell ref="BE36:BK36"/>
    <mergeCell ref="BL36:BR36"/>
    <mergeCell ref="BS36:BY36"/>
    <mergeCell ref="E35:F35"/>
    <mergeCell ref="E36:F36"/>
    <mergeCell ref="E37:F37"/>
    <mergeCell ref="B29:G29"/>
    <mergeCell ref="E30:F30"/>
    <mergeCell ref="BZ30:CF30"/>
    <mergeCell ref="CG30:CM30"/>
    <mergeCell ref="B31:G31"/>
    <mergeCell ref="BZ32:CF32"/>
    <mergeCell ref="BS25:BY25"/>
    <mergeCell ref="BZ25:CF25"/>
    <mergeCell ref="CG25:CM25"/>
    <mergeCell ref="B26:G26"/>
    <mergeCell ref="B27:G27"/>
    <mergeCell ref="E28:F28"/>
    <mergeCell ref="BZ28:CF28"/>
    <mergeCell ref="CG28:CM28"/>
    <mergeCell ref="B21:G21"/>
    <mergeCell ref="B22:G22"/>
    <mergeCell ref="AC23:AI23"/>
    <mergeCell ref="AJ24:AP24"/>
    <mergeCell ref="AJ25:AP25"/>
    <mergeCell ref="BL25:BR25"/>
    <mergeCell ref="E17:F17"/>
    <mergeCell ref="AQ17:AW17"/>
    <mergeCell ref="B18:G18"/>
    <mergeCell ref="BE19:BK19"/>
    <mergeCell ref="E20:F20"/>
    <mergeCell ref="BE20:BK20"/>
    <mergeCell ref="E19:F19"/>
    <mergeCell ref="E23:F23"/>
    <mergeCell ref="E13:F13"/>
    <mergeCell ref="AX13:BD13"/>
    <mergeCell ref="E14:F14"/>
    <mergeCell ref="AX14:BD14"/>
    <mergeCell ref="B15:G15"/>
    <mergeCell ref="E16:F16"/>
    <mergeCell ref="AQ16:AW16"/>
    <mergeCell ref="AC9:AI9"/>
    <mergeCell ref="E10:F10"/>
    <mergeCell ref="AX10:BD10"/>
    <mergeCell ref="E11:F11"/>
    <mergeCell ref="AX11:BD11"/>
    <mergeCell ref="B12:G12"/>
    <mergeCell ref="B6:G6"/>
    <mergeCell ref="B7:G7"/>
    <mergeCell ref="E8:F8"/>
    <mergeCell ref="O8:U8"/>
    <mergeCell ref="V8:AB8"/>
    <mergeCell ref="E9:F9"/>
    <mergeCell ref="V9:AB9"/>
    <mergeCell ref="H1:CS1"/>
    <mergeCell ref="H2:CS2"/>
    <mergeCell ref="B4:D4"/>
    <mergeCell ref="E4:G4"/>
    <mergeCell ref="E5:F5"/>
  </mergeCells>
  <phoneticPr fontId="2" type="noConversion"/>
  <pageMargins left="0.511811024" right="0.511811024" top="0.78740157499999996" bottom="0.78740157499999996" header="0.31496062000000002" footer="0.31496062000000002"/>
  <pageSetup paperSize="8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D2C8F-55D4-4785-9147-030E69B3779F}">
  <sheetPr>
    <outlinePr summaryBelow="0" summaryRight="0"/>
  </sheetPr>
  <dimension ref="A1:AE1002"/>
  <sheetViews>
    <sheetView zoomScale="86" zoomScaleNormal="86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C29" sqref="C29"/>
    </sheetView>
  </sheetViews>
  <sheetFormatPr defaultColWidth="14.44140625" defaultRowHeight="15.75" customHeight="1" x14ac:dyDescent="0.25"/>
  <cols>
    <col min="1" max="1" width="65.109375" style="7" customWidth="1"/>
    <col min="2" max="2" width="5.6640625" style="7" customWidth="1"/>
    <col min="3" max="3" width="11.6640625" style="108" customWidth="1"/>
    <col min="4" max="4" width="9.88671875" style="7" customWidth="1"/>
    <col min="5" max="5" width="12.33203125" style="7" customWidth="1"/>
    <col min="6" max="6" width="14.6640625" style="7" customWidth="1"/>
    <col min="7" max="8" width="10.6640625" style="109" customWidth="1"/>
    <col min="9" max="9" width="14.44140625" style="109" customWidth="1"/>
    <col min="10" max="10" width="10.5546875" style="109" customWidth="1"/>
    <col min="11" max="11" width="13.6640625" style="109" customWidth="1"/>
    <col min="12" max="12" width="10.5546875" style="109" customWidth="1"/>
    <col min="13" max="13" width="14.5546875" style="109" customWidth="1"/>
    <col min="14" max="14" width="10.5546875" style="109" customWidth="1"/>
    <col min="15" max="15" width="14" style="109" customWidth="1"/>
    <col min="16" max="16" width="10.5546875" style="109" customWidth="1"/>
    <col min="17" max="17" width="13.77734375" style="109" customWidth="1"/>
    <col min="18" max="18" width="12.77734375" style="109" customWidth="1"/>
    <col min="19" max="19" width="14" style="109" customWidth="1"/>
    <col min="20" max="20" width="12" style="109" customWidth="1"/>
    <col min="21" max="21" width="14" style="109" customWidth="1"/>
    <col min="22" max="22" width="10.5546875" style="109" customWidth="1"/>
    <col min="23" max="23" width="14" style="109" customWidth="1"/>
    <col min="24" max="24" width="10.5546875" style="109" customWidth="1"/>
    <col min="25" max="25" width="14" style="109" customWidth="1"/>
    <col min="26" max="26" width="10.5546875" style="109" customWidth="1"/>
    <col min="27" max="27" width="14" style="109" customWidth="1"/>
    <col min="28" max="28" width="12.109375" style="109" customWidth="1"/>
    <col min="29" max="29" width="14" style="109" customWidth="1"/>
    <col min="30" max="30" width="10.5546875" style="109" customWidth="1"/>
    <col min="31" max="31" width="14" style="109" customWidth="1"/>
    <col min="32" max="32" width="12.88671875" customWidth="1"/>
  </cols>
  <sheetData>
    <row r="1" spans="1:31" ht="30" customHeight="1" thickBot="1" x14ac:dyDescent="0.3">
      <c r="A1" s="489" t="s">
        <v>101</v>
      </c>
      <c r="B1" s="490"/>
      <c r="C1" s="490"/>
      <c r="D1" s="490"/>
      <c r="E1" s="490"/>
      <c r="F1" s="491"/>
      <c r="G1" s="474" t="s">
        <v>61</v>
      </c>
      <c r="H1" s="494"/>
      <c r="I1" s="475"/>
      <c r="J1" s="474" t="s">
        <v>63</v>
      </c>
      <c r="K1" s="475"/>
      <c r="L1" s="474" t="s">
        <v>64</v>
      </c>
      <c r="M1" s="475"/>
      <c r="N1" s="474" t="s">
        <v>65</v>
      </c>
      <c r="O1" s="475"/>
      <c r="P1" s="474" t="s">
        <v>66</v>
      </c>
      <c r="Q1" s="475"/>
      <c r="R1" s="474" t="s">
        <v>71</v>
      </c>
      <c r="S1" s="475"/>
      <c r="T1" s="474" t="s">
        <v>80</v>
      </c>
      <c r="U1" s="475"/>
      <c r="V1" s="474" t="s">
        <v>81</v>
      </c>
      <c r="W1" s="475"/>
      <c r="X1" s="474" t="s">
        <v>85</v>
      </c>
      <c r="Y1" s="475"/>
      <c r="Z1" s="474" t="s">
        <v>86</v>
      </c>
      <c r="AA1" s="475"/>
      <c r="AB1" s="474" t="s">
        <v>93</v>
      </c>
      <c r="AC1" s="475"/>
      <c r="AD1" s="474" t="s">
        <v>97</v>
      </c>
      <c r="AE1" s="475"/>
    </row>
    <row r="2" spans="1:31" ht="19.2" customHeight="1" x14ac:dyDescent="0.25">
      <c r="A2" s="485" t="s">
        <v>35</v>
      </c>
      <c r="B2" s="486"/>
      <c r="C2" s="486"/>
      <c r="D2" s="482" t="s">
        <v>62</v>
      </c>
      <c r="E2" s="483"/>
      <c r="F2" s="484"/>
      <c r="G2" s="495" t="s">
        <v>102</v>
      </c>
      <c r="H2" s="495"/>
      <c r="I2" s="477"/>
      <c r="J2" s="476" t="s">
        <v>68</v>
      </c>
      <c r="K2" s="477"/>
      <c r="L2" s="476" t="s">
        <v>69</v>
      </c>
      <c r="M2" s="477"/>
      <c r="N2" s="476" t="s">
        <v>70</v>
      </c>
      <c r="O2" s="477"/>
      <c r="P2" s="480" t="s">
        <v>76</v>
      </c>
      <c r="Q2" s="481"/>
      <c r="R2" s="480" t="s">
        <v>74</v>
      </c>
      <c r="S2" s="481"/>
      <c r="T2" s="476" t="s">
        <v>82</v>
      </c>
      <c r="U2" s="477"/>
      <c r="V2" s="476" t="s">
        <v>87</v>
      </c>
      <c r="W2" s="477"/>
      <c r="X2" s="476" t="s">
        <v>89</v>
      </c>
      <c r="Y2" s="477"/>
      <c r="Z2" s="476" t="s">
        <v>91</v>
      </c>
      <c r="AA2" s="477"/>
      <c r="AB2" s="476" t="s">
        <v>94</v>
      </c>
      <c r="AC2" s="477"/>
      <c r="AD2" s="476" t="s">
        <v>98</v>
      </c>
      <c r="AE2" s="477"/>
    </row>
    <row r="3" spans="1:31" ht="19.2" customHeight="1" thickBot="1" x14ac:dyDescent="0.3">
      <c r="A3" s="487"/>
      <c r="B3" s="488"/>
      <c r="C3" s="488"/>
      <c r="D3" s="492" t="s">
        <v>96</v>
      </c>
      <c r="E3" s="493"/>
      <c r="F3" s="123"/>
      <c r="G3" s="496" t="s">
        <v>84</v>
      </c>
      <c r="H3" s="496"/>
      <c r="I3" s="479"/>
      <c r="J3" s="478" t="s">
        <v>73</v>
      </c>
      <c r="K3" s="479"/>
      <c r="L3" s="478" t="s">
        <v>79</v>
      </c>
      <c r="M3" s="479"/>
      <c r="N3" s="478" t="s">
        <v>78</v>
      </c>
      <c r="O3" s="479"/>
      <c r="P3" s="478" t="s">
        <v>77</v>
      </c>
      <c r="Q3" s="479"/>
      <c r="R3" s="478" t="s">
        <v>75</v>
      </c>
      <c r="S3" s="479"/>
      <c r="T3" s="478" t="s">
        <v>83</v>
      </c>
      <c r="U3" s="479"/>
      <c r="V3" s="478" t="s">
        <v>88</v>
      </c>
      <c r="W3" s="479"/>
      <c r="X3" s="478" t="s">
        <v>90</v>
      </c>
      <c r="Y3" s="479"/>
      <c r="Z3" s="478" t="s">
        <v>92</v>
      </c>
      <c r="AA3" s="479"/>
      <c r="AB3" s="478" t="s">
        <v>95</v>
      </c>
      <c r="AC3" s="479"/>
      <c r="AD3" s="478" t="s">
        <v>99</v>
      </c>
      <c r="AE3" s="479"/>
    </row>
    <row r="4" spans="1:31" ht="13.2" x14ac:dyDescent="0.25">
      <c r="A4" s="119" t="s">
        <v>38</v>
      </c>
      <c r="B4" s="120" t="s">
        <v>0</v>
      </c>
      <c r="C4" s="166" t="s">
        <v>1</v>
      </c>
      <c r="D4" s="121" t="s">
        <v>2</v>
      </c>
      <c r="E4" s="122" t="s">
        <v>3</v>
      </c>
      <c r="F4" s="206" t="s">
        <v>7</v>
      </c>
      <c r="G4" s="132" t="s">
        <v>104</v>
      </c>
      <c r="H4" s="132" t="s">
        <v>103</v>
      </c>
      <c r="I4" s="112"/>
      <c r="J4" s="111"/>
      <c r="K4" s="112"/>
      <c r="L4" s="111"/>
      <c r="M4" s="112"/>
      <c r="N4" s="124" t="s">
        <v>3</v>
      </c>
      <c r="O4" s="112"/>
      <c r="P4" s="124" t="s">
        <v>3</v>
      </c>
      <c r="Q4" s="112"/>
      <c r="R4" s="111"/>
      <c r="S4" s="112"/>
      <c r="T4" s="111"/>
      <c r="U4" s="112"/>
      <c r="V4" s="111"/>
      <c r="W4" s="112"/>
      <c r="X4" s="111"/>
      <c r="Y4" s="112"/>
      <c r="Z4" s="111"/>
      <c r="AA4" s="112"/>
      <c r="AB4" s="111"/>
      <c r="AC4" s="112"/>
      <c r="AD4" s="111"/>
      <c r="AE4" s="112"/>
    </row>
    <row r="5" spans="1:31" ht="13.2" x14ac:dyDescent="0.25">
      <c r="A5" s="43" t="s">
        <v>67</v>
      </c>
      <c r="B5" s="77" t="s">
        <v>4</v>
      </c>
      <c r="C5" s="167">
        <f>493.98+252+58</f>
        <v>803.98</v>
      </c>
      <c r="D5" s="3">
        <v>1.24</v>
      </c>
      <c r="E5" s="4">
        <v>30</v>
      </c>
      <c r="F5" s="207">
        <f>C5*(D5+E5)</f>
        <v>25116.335199999998</v>
      </c>
      <c r="G5" s="195">
        <f>1000/C5</f>
        <v>1.2438120351252517</v>
      </c>
      <c r="H5" s="133">
        <f>10000/C5</f>
        <v>12.438120351252518</v>
      </c>
      <c r="I5" s="133">
        <f>C5*(G5+H5)</f>
        <v>11000</v>
      </c>
      <c r="J5" s="133">
        <v>30</v>
      </c>
      <c r="K5" s="133">
        <f t="shared" ref="K5:K13" si="0">J5*C5</f>
        <v>24119.4</v>
      </c>
      <c r="L5" s="133">
        <f>59+25</f>
        <v>84</v>
      </c>
      <c r="M5" s="133">
        <f t="shared" ref="M5:M13" si="1">C5*L5</f>
        <v>67534.320000000007</v>
      </c>
      <c r="N5" s="134">
        <v>45</v>
      </c>
      <c r="O5" s="133">
        <f t="shared" ref="O5:O13" si="2">N5*C5</f>
        <v>36179.1</v>
      </c>
      <c r="P5" s="135">
        <v>30</v>
      </c>
      <c r="Q5" s="133">
        <f t="shared" ref="Q5:Q13" si="3">C5*P5</f>
        <v>24119.4</v>
      </c>
      <c r="R5" s="133">
        <v>0</v>
      </c>
      <c r="S5" s="133">
        <f>L5*R5</f>
        <v>0</v>
      </c>
      <c r="T5" s="133">
        <v>0</v>
      </c>
      <c r="U5" s="133">
        <f>N5*T5</f>
        <v>0</v>
      </c>
      <c r="V5" s="133">
        <v>0</v>
      </c>
      <c r="W5" s="133">
        <f>P5*V5</f>
        <v>0</v>
      </c>
      <c r="X5" s="133">
        <v>0</v>
      </c>
      <c r="Y5" s="133">
        <f>R5*X5</f>
        <v>0</v>
      </c>
      <c r="Z5" s="133">
        <v>0</v>
      </c>
      <c r="AA5" s="133">
        <f>T5*Z5</f>
        <v>0</v>
      </c>
      <c r="AB5" s="133">
        <v>0</v>
      </c>
      <c r="AC5" s="133">
        <f>V5*AB5</f>
        <v>0</v>
      </c>
      <c r="AD5" s="133">
        <v>0</v>
      </c>
      <c r="AE5" s="133">
        <f>X5*AD5</f>
        <v>0</v>
      </c>
    </row>
    <row r="6" spans="1:31" ht="13.2" x14ac:dyDescent="0.25">
      <c r="A6" s="44" t="s">
        <v>11</v>
      </c>
      <c r="B6" s="77" t="s">
        <v>17</v>
      </c>
      <c r="C6" s="167">
        <v>27.62</v>
      </c>
      <c r="D6" s="3">
        <v>36.21</v>
      </c>
      <c r="E6" s="4">
        <v>16</v>
      </c>
      <c r="F6" s="207">
        <f t="shared" ref="F6:F13" si="4">C6*(D6+E6)</f>
        <v>1442.0402000000001</v>
      </c>
      <c r="G6" s="195">
        <f>1000/C6</f>
        <v>36.205648081100648</v>
      </c>
      <c r="H6" s="133">
        <f>350/C6</f>
        <v>12.671976828385228</v>
      </c>
      <c r="I6" s="133">
        <f t="shared" ref="I6:I13" si="5">C6*(G6+H6)</f>
        <v>1350</v>
      </c>
      <c r="J6" s="133">
        <v>16</v>
      </c>
      <c r="K6" s="133">
        <f t="shared" si="0"/>
        <v>441.92</v>
      </c>
      <c r="L6" s="133">
        <v>16</v>
      </c>
      <c r="M6" s="133">
        <f t="shared" si="1"/>
        <v>441.92</v>
      </c>
      <c r="N6" s="134">
        <v>16</v>
      </c>
      <c r="O6" s="133">
        <f t="shared" si="2"/>
        <v>441.92</v>
      </c>
      <c r="P6" s="135">
        <v>60</v>
      </c>
      <c r="Q6" s="133">
        <f t="shared" si="3"/>
        <v>1657.2</v>
      </c>
      <c r="R6" s="133">
        <v>0</v>
      </c>
      <c r="S6" s="133">
        <f t="shared" ref="S6:S13" si="6">L6*R6</f>
        <v>0</v>
      </c>
      <c r="T6" s="133">
        <v>0</v>
      </c>
      <c r="U6" s="133">
        <f t="shared" ref="U6:U13" si="7">N6*T6</f>
        <v>0</v>
      </c>
      <c r="V6" s="133">
        <v>0</v>
      </c>
      <c r="W6" s="133">
        <f t="shared" ref="W6:W13" si="8">P6*V6</f>
        <v>0</v>
      </c>
      <c r="X6" s="133">
        <v>0</v>
      </c>
      <c r="Y6" s="133">
        <f t="shared" ref="Y6:Y13" si="9">R6*X6</f>
        <v>0</v>
      </c>
      <c r="Z6" s="133">
        <v>0</v>
      </c>
      <c r="AA6" s="133">
        <f t="shared" ref="AA6:AA13" si="10">T6*Z6</f>
        <v>0</v>
      </c>
      <c r="AB6" s="133">
        <v>0</v>
      </c>
      <c r="AC6" s="133">
        <f t="shared" ref="AC6:AC13" si="11">V6*AB6</f>
        <v>0</v>
      </c>
      <c r="AD6" s="133">
        <v>0</v>
      </c>
      <c r="AE6" s="133">
        <f t="shared" ref="AE6:AE13" si="12">X6*AD6</f>
        <v>0</v>
      </c>
    </row>
    <row r="7" spans="1:31" ht="13.2" x14ac:dyDescent="0.25">
      <c r="A7" s="44" t="s">
        <v>12</v>
      </c>
      <c r="B7" s="77" t="s">
        <v>17</v>
      </c>
      <c r="C7" s="167">
        <v>38</v>
      </c>
      <c r="D7" s="3">
        <v>65.790000000000006</v>
      </c>
      <c r="E7" s="4">
        <v>17</v>
      </c>
      <c r="F7" s="207">
        <f t="shared" si="4"/>
        <v>3146.0200000000004</v>
      </c>
      <c r="G7" s="195">
        <f>2500/C7</f>
        <v>65.78947368421052</v>
      </c>
      <c r="H7" s="133">
        <f>2500/C7</f>
        <v>65.78947368421052</v>
      </c>
      <c r="I7" s="133">
        <f t="shared" si="5"/>
        <v>5000</v>
      </c>
      <c r="J7" s="133">
        <v>17</v>
      </c>
      <c r="K7" s="133">
        <f t="shared" si="0"/>
        <v>646</v>
      </c>
      <c r="L7" s="133">
        <v>17</v>
      </c>
      <c r="M7" s="133">
        <f t="shared" si="1"/>
        <v>646</v>
      </c>
      <c r="N7" s="134">
        <v>17</v>
      </c>
      <c r="O7" s="133">
        <f t="shared" si="2"/>
        <v>646</v>
      </c>
      <c r="P7" s="135">
        <v>35</v>
      </c>
      <c r="Q7" s="133">
        <f t="shared" si="3"/>
        <v>1330</v>
      </c>
      <c r="R7" s="133">
        <v>0</v>
      </c>
      <c r="S7" s="133">
        <f t="shared" si="6"/>
        <v>0</v>
      </c>
      <c r="T7" s="133">
        <v>0</v>
      </c>
      <c r="U7" s="133">
        <f t="shared" si="7"/>
        <v>0</v>
      </c>
      <c r="V7" s="133">
        <v>0</v>
      </c>
      <c r="W7" s="133">
        <f t="shared" si="8"/>
        <v>0</v>
      </c>
      <c r="X7" s="133">
        <v>0</v>
      </c>
      <c r="Y7" s="133">
        <f t="shared" si="9"/>
        <v>0</v>
      </c>
      <c r="Z7" s="133">
        <v>0</v>
      </c>
      <c r="AA7" s="133">
        <f t="shared" si="10"/>
        <v>0</v>
      </c>
      <c r="AB7" s="133">
        <v>0</v>
      </c>
      <c r="AC7" s="133">
        <f t="shared" si="11"/>
        <v>0</v>
      </c>
      <c r="AD7" s="133">
        <v>0</v>
      </c>
      <c r="AE7" s="133">
        <f t="shared" si="12"/>
        <v>0</v>
      </c>
    </row>
    <row r="8" spans="1:31" ht="13.2" x14ac:dyDescent="0.25">
      <c r="A8" s="44" t="s">
        <v>5</v>
      </c>
      <c r="B8" s="77" t="s">
        <v>4</v>
      </c>
      <c r="C8" s="167">
        <f>252+252+58</f>
        <v>562</v>
      </c>
      <c r="D8" s="3">
        <v>1.78</v>
      </c>
      <c r="E8" s="4">
        <v>20</v>
      </c>
      <c r="F8" s="207">
        <f t="shared" si="4"/>
        <v>12240.36</v>
      </c>
      <c r="G8" s="195">
        <f>1000/C8</f>
        <v>1.7793594306049823</v>
      </c>
      <c r="H8" s="133">
        <f>10000/C8</f>
        <v>17.793594306049823</v>
      </c>
      <c r="I8" s="133">
        <f t="shared" si="5"/>
        <v>11000</v>
      </c>
      <c r="J8" s="133">
        <v>20</v>
      </c>
      <c r="K8" s="133">
        <f t="shared" si="0"/>
        <v>11240</v>
      </c>
      <c r="L8" s="133">
        <v>48</v>
      </c>
      <c r="M8" s="133">
        <f t="shared" si="1"/>
        <v>26976</v>
      </c>
      <c r="N8" s="134">
        <v>90</v>
      </c>
      <c r="O8" s="133">
        <f t="shared" si="2"/>
        <v>50580</v>
      </c>
      <c r="P8" s="135">
        <v>45</v>
      </c>
      <c r="Q8" s="133">
        <f t="shared" si="3"/>
        <v>25290</v>
      </c>
      <c r="R8" s="133">
        <v>0</v>
      </c>
      <c r="S8" s="133">
        <f t="shared" si="6"/>
        <v>0</v>
      </c>
      <c r="T8" s="133">
        <v>0</v>
      </c>
      <c r="U8" s="133">
        <f t="shared" si="7"/>
        <v>0</v>
      </c>
      <c r="V8" s="133">
        <v>0</v>
      </c>
      <c r="W8" s="133">
        <f t="shared" si="8"/>
        <v>0</v>
      </c>
      <c r="X8" s="133">
        <v>0</v>
      </c>
      <c r="Y8" s="133">
        <f t="shared" si="9"/>
        <v>0</v>
      </c>
      <c r="Z8" s="133">
        <v>0</v>
      </c>
      <c r="AA8" s="133">
        <f t="shared" si="10"/>
        <v>0</v>
      </c>
      <c r="AB8" s="133">
        <v>0</v>
      </c>
      <c r="AC8" s="133">
        <f t="shared" si="11"/>
        <v>0</v>
      </c>
      <c r="AD8" s="133">
        <v>0</v>
      </c>
      <c r="AE8" s="133">
        <f t="shared" si="12"/>
        <v>0</v>
      </c>
    </row>
    <row r="9" spans="1:31" ht="13.2" x14ac:dyDescent="0.25">
      <c r="A9" s="44" t="s">
        <v>9</v>
      </c>
      <c r="B9" s="77" t="s">
        <v>4</v>
      </c>
      <c r="C9" s="167">
        <v>252</v>
      </c>
      <c r="D9" s="3">
        <v>35.71</v>
      </c>
      <c r="E9" s="4">
        <v>19</v>
      </c>
      <c r="F9" s="207">
        <f t="shared" si="4"/>
        <v>13786.92</v>
      </c>
      <c r="G9" s="195">
        <f>9000/C9</f>
        <v>35.714285714285715</v>
      </c>
      <c r="H9" s="133">
        <f>10000/C9</f>
        <v>39.682539682539684</v>
      </c>
      <c r="I9" s="133">
        <f t="shared" si="5"/>
        <v>19000</v>
      </c>
      <c r="J9" s="133">
        <v>40</v>
      </c>
      <c r="K9" s="133">
        <f t="shared" si="0"/>
        <v>10080</v>
      </c>
      <c r="L9" s="133">
        <v>19</v>
      </c>
      <c r="M9" s="133">
        <f t="shared" si="1"/>
        <v>4788</v>
      </c>
      <c r="N9" s="134">
        <v>19</v>
      </c>
      <c r="O9" s="133">
        <f t="shared" si="2"/>
        <v>4788</v>
      </c>
      <c r="P9" s="135">
        <v>60</v>
      </c>
      <c r="Q9" s="133">
        <f t="shared" si="3"/>
        <v>15120</v>
      </c>
      <c r="R9" s="133">
        <v>0</v>
      </c>
      <c r="S9" s="133">
        <f t="shared" si="6"/>
        <v>0</v>
      </c>
      <c r="T9" s="133">
        <v>0</v>
      </c>
      <c r="U9" s="133">
        <f t="shared" si="7"/>
        <v>0</v>
      </c>
      <c r="V9" s="133">
        <v>0</v>
      </c>
      <c r="W9" s="133">
        <f t="shared" si="8"/>
        <v>0</v>
      </c>
      <c r="X9" s="133">
        <v>0</v>
      </c>
      <c r="Y9" s="133">
        <f t="shared" si="9"/>
        <v>0</v>
      </c>
      <c r="Z9" s="133">
        <v>0</v>
      </c>
      <c r="AA9" s="133">
        <f t="shared" si="10"/>
        <v>0</v>
      </c>
      <c r="AB9" s="133">
        <v>0</v>
      </c>
      <c r="AC9" s="133">
        <f t="shared" si="11"/>
        <v>0</v>
      </c>
      <c r="AD9" s="133">
        <v>0</v>
      </c>
      <c r="AE9" s="133">
        <f t="shared" si="12"/>
        <v>0</v>
      </c>
    </row>
    <row r="10" spans="1:31" ht="13.2" x14ac:dyDescent="0.25">
      <c r="A10" s="44" t="s">
        <v>21</v>
      </c>
      <c r="B10" s="77" t="s">
        <v>4</v>
      </c>
      <c r="C10" s="167">
        <v>6.91</v>
      </c>
      <c r="D10" s="3"/>
      <c r="E10" s="4">
        <v>20</v>
      </c>
      <c r="F10" s="207">
        <f t="shared" si="4"/>
        <v>138.19999999999999</v>
      </c>
      <c r="G10" s="195">
        <v>0</v>
      </c>
      <c r="H10" s="133">
        <f>1000/C10</f>
        <v>144.71780028943559</v>
      </c>
      <c r="I10" s="133">
        <f t="shared" si="5"/>
        <v>999.99999999999989</v>
      </c>
      <c r="J10" s="133">
        <v>20</v>
      </c>
      <c r="K10" s="133">
        <f t="shared" si="0"/>
        <v>138.19999999999999</v>
      </c>
      <c r="L10" s="133">
        <v>20</v>
      </c>
      <c r="M10" s="133">
        <f t="shared" si="1"/>
        <v>138.19999999999999</v>
      </c>
      <c r="N10" s="134">
        <v>20</v>
      </c>
      <c r="O10" s="133">
        <f t="shared" si="2"/>
        <v>138.19999999999999</v>
      </c>
      <c r="P10" s="135">
        <v>60</v>
      </c>
      <c r="Q10" s="133">
        <f t="shared" si="3"/>
        <v>414.6</v>
      </c>
      <c r="R10" s="133">
        <v>0</v>
      </c>
      <c r="S10" s="133">
        <f t="shared" si="6"/>
        <v>0</v>
      </c>
      <c r="T10" s="133">
        <v>0</v>
      </c>
      <c r="U10" s="133">
        <f t="shared" si="7"/>
        <v>0</v>
      </c>
      <c r="V10" s="133">
        <v>0</v>
      </c>
      <c r="W10" s="133">
        <f t="shared" si="8"/>
        <v>0</v>
      </c>
      <c r="X10" s="133">
        <v>0</v>
      </c>
      <c r="Y10" s="133">
        <f t="shared" si="9"/>
        <v>0</v>
      </c>
      <c r="Z10" s="133">
        <v>0</v>
      </c>
      <c r="AA10" s="133">
        <f t="shared" si="10"/>
        <v>0</v>
      </c>
      <c r="AB10" s="133">
        <v>0</v>
      </c>
      <c r="AC10" s="133">
        <f t="shared" si="11"/>
        <v>0</v>
      </c>
      <c r="AD10" s="133">
        <v>0</v>
      </c>
      <c r="AE10" s="133">
        <f t="shared" si="12"/>
        <v>0</v>
      </c>
    </row>
    <row r="11" spans="1:31" ht="13.2" x14ac:dyDescent="0.25">
      <c r="A11" s="44" t="s">
        <v>6</v>
      </c>
      <c r="B11" s="77" t="s">
        <v>4</v>
      </c>
      <c r="C11" s="167">
        <f>(255*0.03)+7.2+7.2+7.2+5.7+8.28+4</f>
        <v>47.230000000000004</v>
      </c>
      <c r="D11" s="3">
        <v>3.18</v>
      </c>
      <c r="E11" s="4">
        <v>12</v>
      </c>
      <c r="F11" s="207">
        <f t="shared" si="4"/>
        <v>716.95140000000004</v>
      </c>
      <c r="G11" s="195">
        <f>150/C11</f>
        <v>3.175947491001482</v>
      </c>
      <c r="H11" s="133">
        <f>500/C11</f>
        <v>10.586491636671607</v>
      </c>
      <c r="I11" s="133">
        <f t="shared" si="5"/>
        <v>650</v>
      </c>
      <c r="J11" s="133">
        <v>21</v>
      </c>
      <c r="K11" s="133">
        <f t="shared" si="0"/>
        <v>991.83</v>
      </c>
      <c r="L11" s="133">
        <v>21</v>
      </c>
      <c r="M11" s="133">
        <f t="shared" si="1"/>
        <v>991.83</v>
      </c>
      <c r="N11" s="134">
        <v>21</v>
      </c>
      <c r="O11" s="133">
        <f t="shared" si="2"/>
        <v>991.83</v>
      </c>
      <c r="P11" s="135">
        <v>15</v>
      </c>
      <c r="Q11" s="133">
        <f t="shared" si="3"/>
        <v>708.45</v>
      </c>
      <c r="R11" s="133">
        <v>0</v>
      </c>
      <c r="S11" s="133">
        <f t="shared" si="6"/>
        <v>0</v>
      </c>
      <c r="T11" s="133">
        <v>0</v>
      </c>
      <c r="U11" s="133">
        <f t="shared" si="7"/>
        <v>0</v>
      </c>
      <c r="V11" s="133">
        <v>0</v>
      </c>
      <c r="W11" s="133">
        <f t="shared" si="8"/>
        <v>0</v>
      </c>
      <c r="X11" s="133">
        <v>0</v>
      </c>
      <c r="Y11" s="133">
        <f t="shared" si="9"/>
        <v>0</v>
      </c>
      <c r="Z11" s="133">
        <v>0</v>
      </c>
      <c r="AA11" s="133">
        <f t="shared" si="10"/>
        <v>0</v>
      </c>
      <c r="AB11" s="133">
        <v>0</v>
      </c>
      <c r="AC11" s="133">
        <f t="shared" si="11"/>
        <v>0</v>
      </c>
      <c r="AD11" s="133">
        <v>0</v>
      </c>
      <c r="AE11" s="133">
        <f t="shared" si="12"/>
        <v>0</v>
      </c>
    </row>
    <row r="12" spans="1:31" ht="13.2" x14ac:dyDescent="0.25">
      <c r="A12" s="45" t="s">
        <v>31</v>
      </c>
      <c r="B12" s="78" t="s">
        <v>4</v>
      </c>
      <c r="C12" s="168">
        <v>98.97</v>
      </c>
      <c r="D12" s="242">
        <v>303.12</v>
      </c>
      <c r="E12" s="4">
        <v>240</v>
      </c>
      <c r="F12" s="207">
        <f t="shared" si="4"/>
        <v>53752.5864</v>
      </c>
      <c r="G12" s="195">
        <f>30000/C12</f>
        <v>303.12215822976663</v>
      </c>
      <c r="H12" s="133">
        <f>10000/C12</f>
        <v>101.0407194099222</v>
      </c>
      <c r="I12" s="133">
        <f t="shared" si="5"/>
        <v>40000</v>
      </c>
      <c r="J12" s="133">
        <v>200</v>
      </c>
      <c r="K12" s="133">
        <f t="shared" si="0"/>
        <v>19794</v>
      </c>
      <c r="L12" s="133">
        <v>0</v>
      </c>
      <c r="M12" s="133">
        <f t="shared" si="1"/>
        <v>0</v>
      </c>
      <c r="N12" s="134">
        <v>0</v>
      </c>
      <c r="O12" s="133">
        <f t="shared" si="2"/>
        <v>0</v>
      </c>
      <c r="P12" s="135">
        <v>80</v>
      </c>
      <c r="Q12" s="133">
        <f t="shared" si="3"/>
        <v>7917.6</v>
      </c>
      <c r="R12" s="133">
        <v>0</v>
      </c>
      <c r="S12" s="133">
        <f t="shared" si="6"/>
        <v>0</v>
      </c>
      <c r="T12" s="133">
        <v>0</v>
      </c>
      <c r="U12" s="133">
        <f t="shared" si="7"/>
        <v>0</v>
      </c>
      <c r="V12" s="133">
        <v>0</v>
      </c>
      <c r="W12" s="133">
        <f t="shared" si="8"/>
        <v>0</v>
      </c>
      <c r="X12" s="133">
        <v>0</v>
      </c>
      <c r="Y12" s="133">
        <f t="shared" si="9"/>
        <v>0</v>
      </c>
      <c r="Z12" s="133">
        <v>0</v>
      </c>
      <c r="AA12" s="133">
        <f t="shared" si="10"/>
        <v>0</v>
      </c>
      <c r="AB12" s="133">
        <v>0</v>
      </c>
      <c r="AC12" s="133">
        <f t="shared" si="11"/>
        <v>0</v>
      </c>
      <c r="AD12" s="133">
        <v>0</v>
      </c>
      <c r="AE12" s="133">
        <f t="shared" si="12"/>
        <v>0</v>
      </c>
    </row>
    <row r="13" spans="1:31" ht="13.2" x14ac:dyDescent="0.25">
      <c r="A13" s="44" t="s">
        <v>34</v>
      </c>
      <c r="B13" s="78" t="s">
        <v>0</v>
      </c>
      <c r="C13" s="168">
        <v>4</v>
      </c>
      <c r="D13" s="5"/>
      <c r="E13" s="4">
        <v>220</v>
      </c>
      <c r="F13" s="207">
        <f t="shared" si="4"/>
        <v>880</v>
      </c>
      <c r="G13" s="195">
        <v>0</v>
      </c>
      <c r="H13" s="133"/>
      <c r="I13" s="133">
        <f t="shared" si="5"/>
        <v>0</v>
      </c>
      <c r="J13" s="133">
        <v>220</v>
      </c>
      <c r="K13" s="133">
        <f t="shared" si="0"/>
        <v>880</v>
      </c>
      <c r="L13" s="133">
        <v>220</v>
      </c>
      <c r="M13" s="133">
        <f t="shared" si="1"/>
        <v>880</v>
      </c>
      <c r="N13" s="134">
        <v>220</v>
      </c>
      <c r="O13" s="133">
        <f t="shared" si="2"/>
        <v>880</v>
      </c>
      <c r="P13" s="135">
        <v>100</v>
      </c>
      <c r="Q13" s="133">
        <f t="shared" si="3"/>
        <v>400</v>
      </c>
      <c r="R13" s="133">
        <v>0</v>
      </c>
      <c r="S13" s="133">
        <f t="shared" si="6"/>
        <v>0</v>
      </c>
      <c r="T13" s="133">
        <v>0</v>
      </c>
      <c r="U13" s="133">
        <f t="shared" si="7"/>
        <v>0</v>
      </c>
      <c r="V13" s="133">
        <v>0</v>
      </c>
      <c r="W13" s="133">
        <f t="shared" si="8"/>
        <v>0</v>
      </c>
      <c r="X13" s="133">
        <v>0</v>
      </c>
      <c r="Y13" s="133">
        <f t="shared" si="9"/>
        <v>0</v>
      </c>
      <c r="Z13" s="133">
        <v>0</v>
      </c>
      <c r="AA13" s="133">
        <f t="shared" si="10"/>
        <v>0</v>
      </c>
      <c r="AB13" s="133">
        <v>0</v>
      </c>
      <c r="AC13" s="133">
        <f t="shared" si="11"/>
        <v>0</v>
      </c>
      <c r="AD13" s="133">
        <v>0</v>
      </c>
      <c r="AE13" s="133">
        <f t="shared" si="12"/>
        <v>0</v>
      </c>
    </row>
    <row r="14" spans="1:31" ht="13.2" x14ac:dyDescent="0.25">
      <c r="A14" s="6"/>
      <c r="C14" s="7"/>
      <c r="D14" s="6"/>
      <c r="F14" s="208">
        <f>SUM(F5:F13)</f>
        <v>111219.41319999998</v>
      </c>
      <c r="I14" s="112">
        <f>SUM(I5:I13)</f>
        <v>89000</v>
      </c>
      <c r="J14" s="111"/>
      <c r="K14" s="112">
        <f>SUM(K5:K13)</f>
        <v>68331.350000000006</v>
      </c>
      <c r="L14" s="111"/>
      <c r="M14" s="112">
        <f>SUM(M5:M13)</f>
        <v>102396.27</v>
      </c>
      <c r="N14" s="124"/>
      <c r="O14" s="112">
        <f>SUM(O5:O13)</f>
        <v>94645.049999999988</v>
      </c>
      <c r="P14" s="125"/>
      <c r="Q14" s="112">
        <f>SUM(Q5:Q13)</f>
        <v>76957.250000000015</v>
      </c>
      <c r="R14" s="111"/>
      <c r="S14" s="112">
        <f>R14*N14</f>
        <v>0</v>
      </c>
      <c r="T14" s="111"/>
      <c r="U14" s="112">
        <f>T14*P14</f>
        <v>0</v>
      </c>
      <c r="V14" s="111"/>
      <c r="W14" s="112">
        <f>V14*R14</f>
        <v>0</v>
      </c>
      <c r="X14" s="111"/>
      <c r="Y14" s="112">
        <f>X14*T14</f>
        <v>0</v>
      </c>
      <c r="Z14" s="111"/>
      <c r="AA14" s="112">
        <f>Z14*V14</f>
        <v>0</v>
      </c>
      <c r="AB14" s="111"/>
      <c r="AC14" s="112">
        <f>AB14*X14</f>
        <v>0</v>
      </c>
      <c r="AD14" s="111"/>
      <c r="AE14" s="112">
        <f>AD14*Z14</f>
        <v>0</v>
      </c>
    </row>
    <row r="15" spans="1:31" ht="13.2" x14ac:dyDescent="0.25">
      <c r="A15" s="46" t="s">
        <v>58</v>
      </c>
      <c r="B15" s="79" t="s">
        <v>0</v>
      </c>
      <c r="C15" s="169" t="s">
        <v>1</v>
      </c>
      <c r="D15" s="8" t="s">
        <v>2</v>
      </c>
      <c r="E15" s="9" t="s">
        <v>3</v>
      </c>
      <c r="F15" s="209" t="s">
        <v>7</v>
      </c>
      <c r="I15" s="112"/>
      <c r="J15" s="111"/>
      <c r="K15" s="112"/>
      <c r="L15" s="111"/>
      <c r="M15" s="112"/>
      <c r="N15" s="124"/>
      <c r="O15" s="112"/>
      <c r="P15" s="125"/>
      <c r="Q15" s="112"/>
      <c r="R15" s="111"/>
      <c r="S15" s="112"/>
      <c r="T15" s="111"/>
      <c r="U15" s="112"/>
      <c r="V15" s="111"/>
      <c r="W15" s="112"/>
      <c r="X15" s="111"/>
      <c r="Y15" s="112"/>
      <c r="Z15" s="111"/>
      <c r="AA15" s="112"/>
      <c r="AB15" s="111"/>
      <c r="AC15" s="112"/>
      <c r="AD15" s="111"/>
      <c r="AE15" s="112"/>
    </row>
    <row r="16" spans="1:31" ht="13.2" x14ac:dyDescent="0.25">
      <c r="A16" s="47" t="s">
        <v>8</v>
      </c>
      <c r="B16" s="80" t="s">
        <v>4</v>
      </c>
      <c r="C16" s="170">
        <f>327+86.98+22+58</f>
        <v>493.98</v>
      </c>
      <c r="D16" s="10">
        <v>54.66</v>
      </c>
      <c r="E16" s="11">
        <v>26.32</v>
      </c>
      <c r="F16" s="210">
        <f>C16*(D16+E16)</f>
        <v>40002.500399999997</v>
      </c>
      <c r="G16" s="196">
        <f>27000/C16</f>
        <v>54.658083323211464</v>
      </c>
      <c r="H16" s="136">
        <f>13000/C16</f>
        <v>26.316854933398112</v>
      </c>
      <c r="I16" s="136">
        <f>C16*(G16+H16)</f>
        <v>40000</v>
      </c>
      <c r="J16" s="136">
        <v>100</v>
      </c>
      <c r="K16" s="136">
        <f>J16*C16</f>
        <v>49398</v>
      </c>
      <c r="L16" s="136">
        <v>0</v>
      </c>
      <c r="M16" s="136">
        <f>L16*E16</f>
        <v>0</v>
      </c>
      <c r="N16" s="137">
        <v>0</v>
      </c>
      <c r="O16" s="136">
        <f>N16*J16</f>
        <v>0</v>
      </c>
      <c r="P16" s="138">
        <v>30</v>
      </c>
      <c r="Q16" s="136">
        <f>P16*C16</f>
        <v>14819.400000000001</v>
      </c>
      <c r="R16" s="136">
        <v>0</v>
      </c>
      <c r="S16" s="136">
        <f>R16*N16</f>
        <v>0</v>
      </c>
      <c r="T16" s="136">
        <v>0</v>
      </c>
      <c r="U16" s="136">
        <f>T16*P16</f>
        <v>0</v>
      </c>
      <c r="V16" s="136">
        <v>0</v>
      </c>
      <c r="W16" s="136">
        <f>V16*R16</f>
        <v>0</v>
      </c>
      <c r="X16" s="136">
        <v>0</v>
      </c>
      <c r="Y16" s="136">
        <f>X16*T16</f>
        <v>0</v>
      </c>
      <c r="Z16" s="136">
        <v>0</v>
      </c>
      <c r="AA16" s="136">
        <f>Z16*V16</f>
        <v>0</v>
      </c>
      <c r="AB16" s="136">
        <v>0</v>
      </c>
      <c r="AC16" s="136">
        <f>AB16*X16</f>
        <v>0</v>
      </c>
      <c r="AD16" s="136">
        <v>0</v>
      </c>
      <c r="AE16" s="136">
        <f>AD16*Z16</f>
        <v>0</v>
      </c>
    </row>
    <row r="17" spans="1:31" ht="13.2" x14ac:dyDescent="0.25">
      <c r="A17" s="48" t="s">
        <v>59</v>
      </c>
      <c r="B17" s="81" t="s">
        <v>4</v>
      </c>
      <c r="C17" s="171">
        <v>262</v>
      </c>
      <c r="D17" s="10">
        <v>49.62</v>
      </c>
      <c r="E17" s="11">
        <v>29.77</v>
      </c>
      <c r="F17" s="211">
        <f>C17*(D17+E17)</f>
        <v>20800.18</v>
      </c>
      <c r="G17" s="196">
        <f>13000/C17</f>
        <v>49.618320610687022</v>
      </c>
      <c r="H17" s="136">
        <f>7800/C17</f>
        <v>29.770992366412212</v>
      </c>
      <c r="I17" s="136">
        <f>C17*G17</f>
        <v>13000</v>
      </c>
      <c r="J17" s="136">
        <v>130</v>
      </c>
      <c r="K17" s="136">
        <f>J17*C17</f>
        <v>34060</v>
      </c>
      <c r="L17" s="136">
        <v>0</v>
      </c>
      <c r="M17" s="136">
        <f>L17*E17</f>
        <v>0</v>
      </c>
      <c r="N17" s="137">
        <v>0</v>
      </c>
      <c r="O17" s="136">
        <f>N17*J17</f>
        <v>0</v>
      </c>
      <c r="P17" s="138">
        <v>60</v>
      </c>
      <c r="Q17" s="136">
        <f>P17*C17</f>
        <v>15720</v>
      </c>
      <c r="R17" s="136">
        <v>0</v>
      </c>
      <c r="S17" s="136">
        <f>R17*N17</f>
        <v>0</v>
      </c>
      <c r="T17" s="136">
        <v>0</v>
      </c>
      <c r="U17" s="136">
        <f>T17*P17</f>
        <v>0</v>
      </c>
      <c r="V17" s="136">
        <v>0</v>
      </c>
      <c r="W17" s="136">
        <f>V17*R17</f>
        <v>0</v>
      </c>
      <c r="X17" s="136">
        <v>0</v>
      </c>
      <c r="Y17" s="136">
        <f>X17*T17</f>
        <v>0</v>
      </c>
      <c r="Z17" s="136">
        <v>0</v>
      </c>
      <c r="AA17" s="136">
        <f>Z17*V17</f>
        <v>0</v>
      </c>
      <c r="AB17" s="136">
        <v>0</v>
      </c>
      <c r="AC17" s="136">
        <f>AB17*X17</f>
        <v>0</v>
      </c>
      <c r="AD17" s="136">
        <v>0</v>
      </c>
      <c r="AE17" s="136">
        <f>AD17*Z17</f>
        <v>0</v>
      </c>
    </row>
    <row r="18" spans="1:31" ht="13.2" x14ac:dyDescent="0.25">
      <c r="A18" s="49"/>
      <c r="B18" s="82"/>
      <c r="C18" s="172"/>
      <c r="D18" s="12"/>
      <c r="E18" s="13"/>
      <c r="F18" s="212">
        <f>SUM(F16:F17)</f>
        <v>60802.680399999997</v>
      </c>
      <c r="I18" s="112">
        <f>SUM(I16:I17)</f>
        <v>53000</v>
      </c>
      <c r="J18" s="111"/>
      <c r="K18" s="112">
        <f>SUM(K16:K17)</f>
        <v>83458</v>
      </c>
      <c r="L18" s="111"/>
      <c r="M18" s="112">
        <f>SUM(M16:M17)</f>
        <v>0</v>
      </c>
      <c r="N18" s="124"/>
      <c r="O18" s="112">
        <f>SUM(O16:O17)</f>
        <v>0</v>
      </c>
      <c r="P18" s="125"/>
      <c r="Q18" s="112">
        <f>SUM(Q16:Q17)</f>
        <v>30539.4</v>
      </c>
      <c r="R18" s="111"/>
      <c r="S18" s="112">
        <f>R18*N18</f>
        <v>0</v>
      </c>
      <c r="T18" s="111"/>
      <c r="U18" s="112">
        <f>T18*P18</f>
        <v>0</v>
      </c>
      <c r="V18" s="111"/>
      <c r="W18" s="112">
        <f>V18*R18</f>
        <v>0</v>
      </c>
      <c r="X18" s="111"/>
      <c r="Y18" s="112">
        <f>X18*T18</f>
        <v>0</v>
      </c>
      <c r="Z18" s="111"/>
      <c r="AA18" s="112">
        <f>Z18*V18</f>
        <v>0</v>
      </c>
      <c r="AB18" s="111"/>
      <c r="AC18" s="112">
        <f>AB18*X18</f>
        <v>0</v>
      </c>
      <c r="AD18" s="111"/>
      <c r="AE18" s="112">
        <f>AD18*Z18</f>
        <v>0</v>
      </c>
    </row>
    <row r="19" spans="1:31" ht="13.2" x14ac:dyDescent="0.25">
      <c r="A19" s="50" t="s">
        <v>39</v>
      </c>
      <c r="B19" s="83" t="s">
        <v>0</v>
      </c>
      <c r="C19" s="173" t="s">
        <v>1</v>
      </c>
      <c r="D19" s="14" t="s">
        <v>2</v>
      </c>
      <c r="E19" s="15" t="s">
        <v>3</v>
      </c>
      <c r="F19" s="213" t="s">
        <v>7</v>
      </c>
      <c r="I19" s="112"/>
      <c r="J19" s="111"/>
      <c r="K19" s="112"/>
      <c r="L19" s="111"/>
      <c r="M19" s="112"/>
      <c r="N19" s="124"/>
      <c r="O19" s="112"/>
      <c r="P19" s="125"/>
      <c r="Q19" s="112"/>
      <c r="R19" s="111"/>
      <c r="S19" s="112"/>
      <c r="T19" s="111"/>
      <c r="U19" s="112"/>
      <c r="V19" s="111"/>
      <c r="W19" s="112"/>
      <c r="X19" s="111"/>
      <c r="Y19" s="112"/>
      <c r="Z19" s="111"/>
      <c r="AA19" s="112"/>
      <c r="AB19" s="111"/>
      <c r="AC19" s="112"/>
      <c r="AD19" s="111"/>
      <c r="AE19" s="112"/>
    </row>
    <row r="20" spans="1:31" ht="13.2" x14ac:dyDescent="0.25">
      <c r="A20" s="51" t="s">
        <v>18</v>
      </c>
      <c r="B20" s="84" t="s">
        <v>4</v>
      </c>
      <c r="C20" s="174">
        <v>2.84</v>
      </c>
      <c r="D20" s="16">
        <v>352.11</v>
      </c>
      <c r="E20" s="17">
        <v>110</v>
      </c>
      <c r="F20" s="214">
        <f>C20*(D20+E20)</f>
        <v>1312.3924</v>
      </c>
      <c r="G20" s="197">
        <f>1000/C20</f>
        <v>352.11267605633805</v>
      </c>
      <c r="H20" s="139">
        <f>1000/C20</f>
        <v>352.11267605633805</v>
      </c>
      <c r="I20" s="139">
        <f>C20*(G20+H20)</f>
        <v>2000</v>
      </c>
      <c r="J20" s="139">
        <v>110</v>
      </c>
      <c r="K20" s="139">
        <f>J20*C20</f>
        <v>312.39999999999998</v>
      </c>
      <c r="L20" s="139">
        <v>0</v>
      </c>
      <c r="M20" s="139">
        <f>L20*E20</f>
        <v>0</v>
      </c>
      <c r="N20" s="140">
        <v>110</v>
      </c>
      <c r="O20" s="139">
        <f>N20*J20</f>
        <v>12100</v>
      </c>
      <c r="P20" s="141">
        <v>35</v>
      </c>
      <c r="Q20" s="139">
        <f>P20*C20</f>
        <v>99.399999999999991</v>
      </c>
      <c r="R20" s="139">
        <v>0</v>
      </c>
      <c r="S20" s="139">
        <f t="shared" ref="S20:S25" si="13">R20*N20</f>
        <v>0</v>
      </c>
      <c r="T20" s="139">
        <v>0</v>
      </c>
      <c r="U20" s="139">
        <f t="shared" ref="U20:U25" si="14">T20*P20</f>
        <v>0</v>
      </c>
      <c r="V20" s="139">
        <v>0</v>
      </c>
      <c r="W20" s="139">
        <f t="shared" ref="W20:W25" si="15">V20*R20</f>
        <v>0</v>
      </c>
      <c r="X20" s="139">
        <v>0</v>
      </c>
      <c r="Y20" s="139">
        <f t="shared" ref="Y20:Y25" si="16">X20*T20</f>
        <v>0</v>
      </c>
      <c r="Z20" s="139">
        <v>0</v>
      </c>
      <c r="AA20" s="139">
        <f t="shared" ref="AA20:AA25" si="17">Z20*V20</f>
        <v>0</v>
      </c>
      <c r="AB20" s="139">
        <v>0</v>
      </c>
      <c r="AC20" s="139">
        <f t="shared" ref="AC20:AC25" si="18">AB20*X20</f>
        <v>0</v>
      </c>
      <c r="AD20" s="139">
        <v>0</v>
      </c>
      <c r="AE20" s="139">
        <f t="shared" ref="AE20:AE25" si="19">AD20*Z20</f>
        <v>0</v>
      </c>
    </row>
    <row r="21" spans="1:31" ht="13.2" x14ac:dyDescent="0.25">
      <c r="A21" s="52" t="s">
        <v>19</v>
      </c>
      <c r="B21" s="84" t="s">
        <v>0</v>
      </c>
      <c r="C21" s="174">
        <v>2</v>
      </c>
      <c r="D21" s="16"/>
      <c r="E21" s="17">
        <v>80</v>
      </c>
      <c r="F21" s="214">
        <f>C21*(D21+E21)</f>
        <v>160</v>
      </c>
      <c r="G21" s="197">
        <v>0</v>
      </c>
      <c r="H21" s="139">
        <v>100</v>
      </c>
      <c r="I21" s="139">
        <f>C21*(G21+H21)</f>
        <v>200</v>
      </c>
      <c r="J21" s="139">
        <v>0</v>
      </c>
      <c r="K21" s="139">
        <f>J21*C21</f>
        <v>0</v>
      </c>
      <c r="L21" s="139">
        <v>0</v>
      </c>
      <c r="M21" s="139">
        <f>L21*E21</f>
        <v>0</v>
      </c>
      <c r="N21" s="140">
        <v>0</v>
      </c>
      <c r="O21" s="139">
        <f>N21*J21</f>
        <v>0</v>
      </c>
      <c r="P21" s="141">
        <v>80</v>
      </c>
      <c r="Q21" s="139">
        <f>P21*C21</f>
        <v>160</v>
      </c>
      <c r="R21" s="139">
        <v>0</v>
      </c>
      <c r="S21" s="139">
        <f t="shared" si="13"/>
        <v>0</v>
      </c>
      <c r="T21" s="139">
        <v>0</v>
      </c>
      <c r="U21" s="139">
        <f t="shared" si="14"/>
        <v>0</v>
      </c>
      <c r="V21" s="139">
        <v>0</v>
      </c>
      <c r="W21" s="139">
        <f t="shared" si="15"/>
        <v>0</v>
      </c>
      <c r="X21" s="139">
        <v>0</v>
      </c>
      <c r="Y21" s="139">
        <f t="shared" si="16"/>
        <v>0</v>
      </c>
      <c r="Z21" s="139">
        <v>0</v>
      </c>
      <c r="AA21" s="139">
        <f t="shared" si="17"/>
        <v>0</v>
      </c>
      <c r="AB21" s="139">
        <v>0</v>
      </c>
      <c r="AC21" s="139">
        <f t="shared" si="18"/>
        <v>0</v>
      </c>
      <c r="AD21" s="139">
        <v>0</v>
      </c>
      <c r="AE21" s="139">
        <f t="shared" si="19"/>
        <v>0</v>
      </c>
    </row>
    <row r="22" spans="1:31" ht="13.2" x14ac:dyDescent="0.25">
      <c r="A22" s="53" t="s">
        <v>24</v>
      </c>
      <c r="B22" s="85" t="s">
        <v>4</v>
      </c>
      <c r="C22" s="175">
        <f>3.62*2.7</f>
        <v>9.7740000000000009</v>
      </c>
      <c r="D22" s="18"/>
      <c r="E22" s="17">
        <v>30</v>
      </c>
      <c r="F22" s="214">
        <f>C22*(D22+E22)</f>
        <v>293.22000000000003</v>
      </c>
      <c r="G22" s="197">
        <v>0</v>
      </c>
      <c r="H22" s="139">
        <f>350/C22</f>
        <v>35.809289952936361</v>
      </c>
      <c r="I22" s="139">
        <f>C22*(G22+H22)</f>
        <v>350</v>
      </c>
      <c r="J22" s="139">
        <v>0</v>
      </c>
      <c r="K22" s="139">
        <f>J22*C22</f>
        <v>0</v>
      </c>
      <c r="L22" s="139">
        <v>0</v>
      </c>
      <c r="M22" s="139">
        <f>L22*E22</f>
        <v>0</v>
      </c>
      <c r="N22" s="140">
        <v>0</v>
      </c>
      <c r="O22" s="139">
        <f>N22*J22</f>
        <v>0</v>
      </c>
      <c r="P22" s="141">
        <v>30</v>
      </c>
      <c r="Q22" s="139">
        <f>P22*C22</f>
        <v>293.22000000000003</v>
      </c>
      <c r="R22" s="139">
        <v>0</v>
      </c>
      <c r="S22" s="139">
        <f t="shared" si="13"/>
        <v>0</v>
      </c>
      <c r="T22" s="139">
        <v>0</v>
      </c>
      <c r="U22" s="139">
        <f t="shared" si="14"/>
        <v>0</v>
      </c>
      <c r="V22" s="139">
        <v>0</v>
      </c>
      <c r="W22" s="139">
        <f t="shared" si="15"/>
        <v>0</v>
      </c>
      <c r="X22" s="139">
        <v>0</v>
      </c>
      <c r="Y22" s="139">
        <f t="shared" si="16"/>
        <v>0</v>
      </c>
      <c r="Z22" s="139">
        <v>0</v>
      </c>
      <c r="AA22" s="139">
        <f t="shared" si="17"/>
        <v>0</v>
      </c>
      <c r="AB22" s="139">
        <v>0</v>
      </c>
      <c r="AC22" s="139">
        <f t="shared" si="18"/>
        <v>0</v>
      </c>
      <c r="AD22" s="139">
        <v>0</v>
      </c>
      <c r="AE22" s="139">
        <f t="shared" si="19"/>
        <v>0</v>
      </c>
    </row>
    <row r="23" spans="1:31" ht="13.2" x14ac:dyDescent="0.25">
      <c r="A23" s="52" t="s">
        <v>30</v>
      </c>
      <c r="B23" s="85" t="s">
        <v>4</v>
      </c>
      <c r="C23" s="175">
        <f>1.64*3</f>
        <v>4.92</v>
      </c>
      <c r="D23" s="241">
        <v>203.25</v>
      </c>
      <c r="E23" s="17">
        <v>110</v>
      </c>
      <c r="F23" s="214">
        <f>C23*(D23+E23)</f>
        <v>1541.19</v>
      </c>
      <c r="G23" s="197">
        <f>1000/C23</f>
        <v>203.2520325203252</v>
      </c>
      <c r="H23" s="139">
        <f>600/C23</f>
        <v>121.95121951219512</v>
      </c>
      <c r="I23" s="139">
        <f>C23*(G23+H23)</f>
        <v>1600</v>
      </c>
      <c r="J23" s="139">
        <v>110</v>
      </c>
      <c r="K23" s="139">
        <f>J23*C23</f>
        <v>541.20000000000005</v>
      </c>
      <c r="L23" s="139">
        <v>0</v>
      </c>
      <c r="M23" s="139">
        <f>L23*E23</f>
        <v>0</v>
      </c>
      <c r="N23" s="140">
        <v>110</v>
      </c>
      <c r="O23" s="139">
        <f>N23*J23</f>
        <v>12100</v>
      </c>
      <c r="P23" s="141">
        <v>120</v>
      </c>
      <c r="Q23" s="139">
        <f>P23*C23</f>
        <v>590.4</v>
      </c>
      <c r="R23" s="139">
        <v>0</v>
      </c>
      <c r="S23" s="139">
        <f t="shared" si="13"/>
        <v>0</v>
      </c>
      <c r="T23" s="139">
        <v>0</v>
      </c>
      <c r="U23" s="139">
        <f t="shared" si="14"/>
        <v>0</v>
      </c>
      <c r="V23" s="139">
        <v>0</v>
      </c>
      <c r="W23" s="139">
        <f t="shared" si="15"/>
        <v>0</v>
      </c>
      <c r="X23" s="139">
        <v>0</v>
      </c>
      <c r="Y23" s="139">
        <f t="shared" si="16"/>
        <v>0</v>
      </c>
      <c r="Z23" s="139">
        <v>0</v>
      </c>
      <c r="AA23" s="139">
        <f t="shared" si="17"/>
        <v>0</v>
      </c>
      <c r="AB23" s="139">
        <v>0</v>
      </c>
      <c r="AC23" s="139">
        <f t="shared" si="18"/>
        <v>0</v>
      </c>
      <c r="AD23" s="139">
        <v>0</v>
      </c>
      <c r="AE23" s="139">
        <f t="shared" si="19"/>
        <v>0</v>
      </c>
    </row>
    <row r="24" spans="1:31" ht="13.2" x14ac:dyDescent="0.25">
      <c r="A24" s="52" t="s">
        <v>33</v>
      </c>
      <c r="B24" s="85" t="s">
        <v>4</v>
      </c>
      <c r="C24" s="175">
        <f>(4.68+3.28)*2.7</f>
        <v>21.491999999999997</v>
      </c>
      <c r="D24" s="241">
        <v>232.64</v>
      </c>
      <c r="E24" s="17">
        <v>35</v>
      </c>
      <c r="F24" s="214">
        <f>C24*(D24+E24)</f>
        <v>5752.1188799999991</v>
      </c>
      <c r="G24" s="197">
        <f>5000/C24</f>
        <v>232.64470500651407</v>
      </c>
      <c r="H24" s="139">
        <f>2000/C24</f>
        <v>93.057882002605638</v>
      </c>
      <c r="I24" s="139">
        <f>C24*(G24+H24)</f>
        <v>7000</v>
      </c>
      <c r="J24" s="139">
        <v>0</v>
      </c>
      <c r="K24" s="139">
        <f>J24*C24</f>
        <v>0</v>
      </c>
      <c r="L24" s="139">
        <v>0</v>
      </c>
      <c r="M24" s="139">
        <f>L24*E24</f>
        <v>0</v>
      </c>
      <c r="N24" s="140">
        <v>0</v>
      </c>
      <c r="O24" s="139">
        <f>N24*J24</f>
        <v>0</v>
      </c>
      <c r="P24" s="141">
        <v>35</v>
      </c>
      <c r="Q24" s="139">
        <f>P24*C24</f>
        <v>752.21999999999991</v>
      </c>
      <c r="R24" s="139">
        <v>0</v>
      </c>
      <c r="S24" s="139">
        <f t="shared" si="13"/>
        <v>0</v>
      </c>
      <c r="T24" s="139">
        <v>0</v>
      </c>
      <c r="U24" s="139">
        <f t="shared" si="14"/>
        <v>0</v>
      </c>
      <c r="V24" s="139">
        <v>0</v>
      </c>
      <c r="W24" s="139">
        <f t="shared" si="15"/>
        <v>0</v>
      </c>
      <c r="X24" s="139">
        <v>0</v>
      </c>
      <c r="Y24" s="139">
        <f t="shared" si="16"/>
        <v>0</v>
      </c>
      <c r="Z24" s="139">
        <v>0</v>
      </c>
      <c r="AA24" s="139">
        <f t="shared" si="17"/>
        <v>0</v>
      </c>
      <c r="AB24" s="139">
        <v>0</v>
      </c>
      <c r="AC24" s="139">
        <f t="shared" si="18"/>
        <v>0</v>
      </c>
      <c r="AD24" s="139">
        <v>0</v>
      </c>
      <c r="AE24" s="139">
        <f t="shared" si="19"/>
        <v>0</v>
      </c>
    </row>
    <row r="25" spans="1:31" ht="13.2" x14ac:dyDescent="0.25">
      <c r="A25" s="6"/>
      <c r="C25" s="7"/>
      <c r="D25" s="6"/>
      <c r="F25" s="215">
        <f>SUM(F20:F24)</f>
        <v>9058.9212799999987</v>
      </c>
      <c r="I25" s="112">
        <f>SUM(I20:I24)</f>
        <v>11150</v>
      </c>
      <c r="J25" s="111"/>
      <c r="K25" s="112">
        <f>SUM(K20:K24)</f>
        <v>853.6</v>
      </c>
      <c r="L25" s="111"/>
      <c r="M25" s="112">
        <f>SUM(M20:M24)</f>
        <v>0</v>
      </c>
      <c r="N25" s="124"/>
      <c r="O25" s="112">
        <f>SUM(O20:O24)</f>
        <v>24200</v>
      </c>
      <c r="P25" s="125"/>
      <c r="Q25" s="112">
        <f>SUM(Q20:Q24)</f>
        <v>1895.2399999999998</v>
      </c>
      <c r="R25" s="111"/>
      <c r="S25" s="112">
        <f t="shared" si="13"/>
        <v>0</v>
      </c>
      <c r="T25" s="111"/>
      <c r="U25" s="112">
        <f t="shared" si="14"/>
        <v>0</v>
      </c>
      <c r="V25" s="111"/>
      <c r="W25" s="112">
        <f t="shared" si="15"/>
        <v>0</v>
      </c>
      <c r="X25" s="111"/>
      <c r="Y25" s="112">
        <f t="shared" si="16"/>
        <v>0</v>
      </c>
      <c r="Z25" s="111"/>
      <c r="AA25" s="112">
        <f t="shared" si="17"/>
        <v>0</v>
      </c>
      <c r="AB25" s="111"/>
      <c r="AC25" s="112">
        <f t="shared" si="18"/>
        <v>0</v>
      </c>
      <c r="AD25" s="111"/>
      <c r="AE25" s="112">
        <f t="shared" si="19"/>
        <v>0</v>
      </c>
    </row>
    <row r="26" spans="1:31" ht="13.2" x14ac:dyDescent="0.25">
      <c r="A26" s="54" t="s">
        <v>40</v>
      </c>
      <c r="B26" s="86" t="s">
        <v>0</v>
      </c>
      <c r="C26" s="176" t="s">
        <v>1</v>
      </c>
      <c r="D26" s="19" t="s">
        <v>2</v>
      </c>
      <c r="E26" s="20" t="s">
        <v>3</v>
      </c>
      <c r="F26" s="216" t="s">
        <v>7</v>
      </c>
      <c r="I26" s="112"/>
      <c r="J26" s="111"/>
      <c r="K26" s="112"/>
      <c r="L26" s="111"/>
      <c r="M26" s="112"/>
      <c r="N26" s="124"/>
      <c r="O26" s="112"/>
      <c r="P26" s="125"/>
      <c r="Q26" s="112"/>
      <c r="R26" s="111"/>
      <c r="S26" s="112"/>
      <c r="T26" s="111"/>
      <c r="U26" s="112"/>
      <c r="V26" s="111"/>
      <c r="W26" s="112"/>
      <c r="X26" s="111"/>
      <c r="Y26" s="112"/>
      <c r="Z26" s="111"/>
      <c r="AA26" s="112"/>
      <c r="AB26" s="111"/>
      <c r="AC26" s="112"/>
      <c r="AD26" s="111"/>
      <c r="AE26" s="112"/>
    </row>
    <row r="27" spans="1:31" ht="13.2" x14ac:dyDescent="0.25">
      <c r="A27" s="55" t="s">
        <v>15</v>
      </c>
      <c r="B27" s="87" t="s">
        <v>0</v>
      </c>
      <c r="C27" s="177">
        <v>1</v>
      </c>
      <c r="D27" s="499">
        <v>2800</v>
      </c>
      <c r="E27" s="500"/>
      <c r="F27" s="217">
        <f>C27*D27</f>
        <v>2800</v>
      </c>
      <c r="G27" s="198">
        <v>0</v>
      </c>
      <c r="H27" s="142"/>
      <c r="I27" s="142">
        <f>C27*G27</f>
        <v>0</v>
      </c>
      <c r="J27" s="142">
        <v>0</v>
      </c>
      <c r="K27" s="142">
        <f t="shared" ref="K27:K32" si="20">J27*C27</f>
        <v>0</v>
      </c>
      <c r="L27" s="142">
        <v>0</v>
      </c>
      <c r="M27" s="142">
        <f>L27*D27</f>
        <v>0</v>
      </c>
      <c r="N27" s="143">
        <v>0</v>
      </c>
      <c r="O27" s="142">
        <f t="shared" ref="O27:O32" si="21">N27*J27</f>
        <v>0</v>
      </c>
      <c r="P27" s="143">
        <v>350</v>
      </c>
      <c r="Q27" s="142">
        <f>P27*C27</f>
        <v>350</v>
      </c>
      <c r="R27" s="142">
        <v>2800</v>
      </c>
      <c r="S27" s="142">
        <f>R27*C27</f>
        <v>2800</v>
      </c>
      <c r="T27" s="142">
        <v>0</v>
      </c>
      <c r="U27" s="142">
        <f t="shared" ref="U27:U32" si="22">T27*P27</f>
        <v>0</v>
      </c>
      <c r="V27" s="142">
        <v>0</v>
      </c>
      <c r="W27" s="142">
        <f t="shared" ref="W27:W32" si="23">V27*R27</f>
        <v>0</v>
      </c>
      <c r="X27" s="142">
        <v>0</v>
      </c>
      <c r="Y27" s="142">
        <f t="shared" ref="Y27:Y32" si="24">X27*T27</f>
        <v>0</v>
      </c>
      <c r="Z27" s="142">
        <v>0</v>
      </c>
      <c r="AA27" s="142">
        <f t="shared" ref="AA27:AA32" si="25">Z27*V27</f>
        <v>0</v>
      </c>
      <c r="AB27" s="142">
        <v>0</v>
      </c>
      <c r="AC27" s="142">
        <f t="shared" ref="AC27:AC32" si="26">AB27*X27</f>
        <v>0</v>
      </c>
      <c r="AD27" s="142">
        <v>0</v>
      </c>
      <c r="AE27" s="142">
        <f t="shared" ref="AE27:AE32" si="27">AD27*Z27</f>
        <v>0</v>
      </c>
    </row>
    <row r="28" spans="1:31" ht="13.2" x14ac:dyDescent="0.25">
      <c r="A28" s="56" t="s">
        <v>16</v>
      </c>
      <c r="B28" s="87" t="s">
        <v>0</v>
      </c>
      <c r="C28" s="177">
        <v>1</v>
      </c>
      <c r="D28" s="499">
        <v>8050</v>
      </c>
      <c r="E28" s="500"/>
      <c r="F28" s="217">
        <f>C28*D28</f>
        <v>8050</v>
      </c>
      <c r="G28" s="198">
        <v>0</v>
      </c>
      <c r="H28" s="142"/>
      <c r="I28" s="142">
        <f>C28*G28</f>
        <v>0</v>
      </c>
      <c r="J28" s="142">
        <v>0</v>
      </c>
      <c r="K28" s="142">
        <f t="shared" si="20"/>
        <v>0</v>
      </c>
      <c r="L28" s="142">
        <v>0</v>
      </c>
      <c r="M28" s="142">
        <f>L28*D28</f>
        <v>0</v>
      </c>
      <c r="N28" s="143">
        <v>0</v>
      </c>
      <c r="O28" s="142">
        <f t="shared" si="21"/>
        <v>0</v>
      </c>
      <c r="P28" s="143">
        <v>350</v>
      </c>
      <c r="Q28" s="142">
        <f>P28*C28</f>
        <v>350</v>
      </c>
      <c r="R28" s="142">
        <f>6700+1350</f>
        <v>8050</v>
      </c>
      <c r="S28" s="142">
        <f>R28*C28</f>
        <v>8050</v>
      </c>
      <c r="T28" s="142">
        <v>0</v>
      </c>
      <c r="U28" s="142">
        <f t="shared" si="22"/>
        <v>0</v>
      </c>
      <c r="V28" s="142">
        <v>0</v>
      </c>
      <c r="W28" s="142">
        <f t="shared" si="23"/>
        <v>0</v>
      </c>
      <c r="X28" s="142">
        <v>0</v>
      </c>
      <c r="Y28" s="142">
        <f t="shared" si="24"/>
        <v>0</v>
      </c>
      <c r="Z28" s="142">
        <v>0</v>
      </c>
      <c r="AA28" s="142">
        <f t="shared" si="25"/>
        <v>0</v>
      </c>
      <c r="AB28" s="142">
        <v>0</v>
      </c>
      <c r="AC28" s="142">
        <f t="shared" si="26"/>
        <v>0</v>
      </c>
      <c r="AD28" s="142">
        <v>0</v>
      </c>
      <c r="AE28" s="142">
        <f t="shared" si="27"/>
        <v>0</v>
      </c>
    </row>
    <row r="29" spans="1:31" ht="13.2" x14ac:dyDescent="0.25">
      <c r="A29" s="56" t="s">
        <v>42</v>
      </c>
      <c r="B29" s="87" t="s">
        <v>17</v>
      </c>
      <c r="C29" s="177">
        <v>3.48</v>
      </c>
      <c r="D29" s="499">
        <v>423.3</v>
      </c>
      <c r="E29" s="500"/>
      <c r="F29" s="217">
        <f>C29*D29</f>
        <v>1473.0840000000001</v>
      </c>
      <c r="G29" s="198">
        <v>0</v>
      </c>
      <c r="H29" s="142"/>
      <c r="I29" s="142">
        <f>C29*G29</f>
        <v>0</v>
      </c>
      <c r="J29" s="142">
        <v>0</v>
      </c>
      <c r="K29" s="142">
        <f t="shared" si="20"/>
        <v>0</v>
      </c>
      <c r="L29" s="142">
        <v>0</v>
      </c>
      <c r="M29" s="142">
        <f>L29*D29</f>
        <v>0</v>
      </c>
      <c r="N29" s="143">
        <v>0</v>
      </c>
      <c r="O29" s="142">
        <f t="shared" si="21"/>
        <v>0</v>
      </c>
      <c r="P29" s="143">
        <v>200</v>
      </c>
      <c r="Q29" s="142">
        <f>P29*C29</f>
        <v>696</v>
      </c>
      <c r="R29" s="142">
        <v>423.3</v>
      </c>
      <c r="S29" s="142">
        <f>R29*C29</f>
        <v>1473.0840000000001</v>
      </c>
      <c r="T29" s="142">
        <v>0</v>
      </c>
      <c r="U29" s="142">
        <f t="shared" si="22"/>
        <v>0</v>
      </c>
      <c r="V29" s="142">
        <v>0</v>
      </c>
      <c r="W29" s="142">
        <f t="shared" si="23"/>
        <v>0</v>
      </c>
      <c r="X29" s="142">
        <v>0</v>
      </c>
      <c r="Y29" s="142">
        <f t="shared" si="24"/>
        <v>0</v>
      </c>
      <c r="Z29" s="142">
        <v>0</v>
      </c>
      <c r="AA29" s="142">
        <f t="shared" si="25"/>
        <v>0</v>
      </c>
      <c r="AB29" s="142">
        <v>0</v>
      </c>
      <c r="AC29" s="142">
        <f t="shared" si="26"/>
        <v>0</v>
      </c>
      <c r="AD29" s="142">
        <v>0</v>
      </c>
      <c r="AE29" s="142">
        <f t="shared" si="27"/>
        <v>0</v>
      </c>
    </row>
    <row r="30" spans="1:31" ht="13.2" x14ac:dyDescent="0.25">
      <c r="A30" s="56" t="s">
        <v>25</v>
      </c>
      <c r="B30" s="88" t="s">
        <v>17</v>
      </c>
      <c r="C30" s="178">
        <f>(9.3+9.3+3.3+3.3)*3</f>
        <v>75.600000000000009</v>
      </c>
      <c r="D30" s="499">
        <v>25</v>
      </c>
      <c r="E30" s="500"/>
      <c r="F30" s="217">
        <f>C30*D30</f>
        <v>1890.0000000000002</v>
      </c>
      <c r="G30" s="198">
        <v>0</v>
      </c>
      <c r="H30" s="142"/>
      <c r="I30" s="142">
        <f>C30*G30</f>
        <v>0</v>
      </c>
      <c r="J30" s="142">
        <v>0</v>
      </c>
      <c r="K30" s="142">
        <f t="shared" si="20"/>
        <v>0</v>
      </c>
      <c r="L30" s="142">
        <v>0</v>
      </c>
      <c r="M30" s="142">
        <f>L30*D30</f>
        <v>0</v>
      </c>
      <c r="N30" s="143">
        <v>0</v>
      </c>
      <c r="O30" s="142">
        <f t="shared" si="21"/>
        <v>0</v>
      </c>
      <c r="P30" s="143">
        <v>25</v>
      </c>
      <c r="Q30" s="142">
        <f>P30*C30</f>
        <v>1890.0000000000002</v>
      </c>
      <c r="R30" s="142">
        <v>0</v>
      </c>
      <c r="S30" s="142">
        <f>R30*C30</f>
        <v>0</v>
      </c>
      <c r="T30" s="142">
        <v>0</v>
      </c>
      <c r="U30" s="142">
        <f t="shared" si="22"/>
        <v>0</v>
      </c>
      <c r="V30" s="142">
        <v>0</v>
      </c>
      <c r="W30" s="142">
        <f t="shared" si="23"/>
        <v>0</v>
      </c>
      <c r="X30" s="142">
        <v>0</v>
      </c>
      <c r="Y30" s="142">
        <f t="shared" si="24"/>
        <v>0</v>
      </c>
      <c r="Z30" s="142">
        <v>0</v>
      </c>
      <c r="AA30" s="142">
        <f t="shared" si="25"/>
        <v>0</v>
      </c>
      <c r="AB30" s="142">
        <v>0</v>
      </c>
      <c r="AC30" s="142">
        <f t="shared" si="26"/>
        <v>0</v>
      </c>
      <c r="AD30" s="142">
        <v>0</v>
      </c>
      <c r="AE30" s="142">
        <f t="shared" si="27"/>
        <v>0</v>
      </c>
    </row>
    <row r="31" spans="1:31" ht="13.2" x14ac:dyDescent="0.25">
      <c r="A31" s="56" t="s">
        <v>26</v>
      </c>
      <c r="B31" s="88" t="s">
        <v>17</v>
      </c>
      <c r="C31" s="178">
        <f>(9.3+9.3+3.3+3.3)*3</f>
        <v>75.600000000000009</v>
      </c>
      <c r="D31" s="499">
        <v>423.3</v>
      </c>
      <c r="E31" s="500"/>
      <c r="F31" s="217">
        <f>C31*D31</f>
        <v>32001.480000000003</v>
      </c>
      <c r="G31" s="198">
        <v>0</v>
      </c>
      <c r="H31" s="142"/>
      <c r="I31" s="142">
        <f>C31*G31</f>
        <v>0</v>
      </c>
      <c r="J31" s="142">
        <v>0</v>
      </c>
      <c r="K31" s="142">
        <f t="shared" si="20"/>
        <v>0</v>
      </c>
      <c r="L31" s="142">
        <v>0</v>
      </c>
      <c r="M31" s="142">
        <f>L31*D31</f>
        <v>0</v>
      </c>
      <c r="N31" s="143">
        <v>0</v>
      </c>
      <c r="O31" s="142">
        <f t="shared" si="21"/>
        <v>0</v>
      </c>
      <c r="P31" s="143">
        <v>25</v>
      </c>
      <c r="Q31" s="142">
        <f>P31*C31</f>
        <v>1890.0000000000002</v>
      </c>
      <c r="R31" s="142">
        <v>423.3</v>
      </c>
      <c r="S31" s="142">
        <f>R31*C31</f>
        <v>32001.480000000003</v>
      </c>
      <c r="T31" s="142">
        <v>0</v>
      </c>
      <c r="U31" s="142">
        <f t="shared" si="22"/>
        <v>0</v>
      </c>
      <c r="V31" s="142">
        <v>0</v>
      </c>
      <c r="W31" s="142">
        <f t="shared" si="23"/>
        <v>0</v>
      </c>
      <c r="X31" s="142">
        <v>0</v>
      </c>
      <c r="Y31" s="142">
        <f t="shared" si="24"/>
        <v>0</v>
      </c>
      <c r="Z31" s="142">
        <v>0</v>
      </c>
      <c r="AA31" s="142">
        <f t="shared" si="25"/>
        <v>0</v>
      </c>
      <c r="AB31" s="142">
        <v>0</v>
      </c>
      <c r="AC31" s="142">
        <f t="shared" si="26"/>
        <v>0</v>
      </c>
      <c r="AD31" s="142">
        <v>0</v>
      </c>
      <c r="AE31" s="142">
        <f t="shared" si="27"/>
        <v>0</v>
      </c>
    </row>
    <row r="32" spans="1:31" ht="13.2" x14ac:dyDescent="0.25">
      <c r="A32" s="6"/>
      <c r="C32" s="7"/>
      <c r="D32" s="6"/>
      <c r="F32" s="218">
        <f>SUM(F27:F31)</f>
        <v>46214.564000000006</v>
      </c>
      <c r="I32" s="112">
        <f>SUM(I27:I31)</f>
        <v>0</v>
      </c>
      <c r="J32" s="111"/>
      <c r="K32" s="112">
        <f t="shared" si="20"/>
        <v>0</v>
      </c>
      <c r="L32" s="111"/>
      <c r="M32" s="112">
        <f>L32*E32</f>
        <v>0</v>
      </c>
      <c r="N32" s="124"/>
      <c r="O32" s="112">
        <f t="shared" si="21"/>
        <v>0</v>
      </c>
      <c r="P32" s="125"/>
      <c r="Q32" s="112">
        <f>SUM(Q27:Q31)</f>
        <v>5176</v>
      </c>
      <c r="R32" s="111"/>
      <c r="S32" s="112">
        <f>SUM(S27:S31)</f>
        <v>44324.564000000006</v>
      </c>
      <c r="T32" s="111"/>
      <c r="U32" s="112">
        <f t="shared" si="22"/>
        <v>0</v>
      </c>
      <c r="V32" s="111"/>
      <c r="W32" s="112">
        <f t="shared" si="23"/>
        <v>0</v>
      </c>
      <c r="X32" s="111"/>
      <c r="Y32" s="112">
        <f t="shared" si="24"/>
        <v>0</v>
      </c>
      <c r="Z32" s="111"/>
      <c r="AA32" s="112">
        <f t="shared" si="25"/>
        <v>0</v>
      </c>
      <c r="AB32" s="111"/>
      <c r="AC32" s="112">
        <f t="shared" si="26"/>
        <v>0</v>
      </c>
      <c r="AD32" s="111"/>
      <c r="AE32" s="112">
        <f t="shared" si="27"/>
        <v>0</v>
      </c>
    </row>
    <row r="33" spans="1:31" ht="13.2" x14ac:dyDescent="0.25">
      <c r="A33" s="57" t="s">
        <v>55</v>
      </c>
      <c r="B33" s="89" t="s">
        <v>0</v>
      </c>
      <c r="C33" s="179" t="s">
        <v>1</v>
      </c>
      <c r="D33" s="21" t="s">
        <v>2</v>
      </c>
      <c r="E33" s="22" t="s">
        <v>3</v>
      </c>
      <c r="F33" s="219" t="s">
        <v>7</v>
      </c>
      <c r="I33" s="112"/>
      <c r="J33" s="111"/>
      <c r="K33" s="112"/>
      <c r="L33" s="111"/>
      <c r="M33" s="112"/>
      <c r="N33" s="124"/>
      <c r="O33" s="112"/>
      <c r="P33" s="125"/>
      <c r="Q33" s="112"/>
      <c r="R33" s="111"/>
      <c r="S33" s="112"/>
      <c r="T33" s="111"/>
      <c r="U33" s="112"/>
      <c r="V33" s="111"/>
      <c r="W33" s="112"/>
      <c r="X33" s="111"/>
      <c r="Y33" s="112"/>
      <c r="Z33" s="111"/>
      <c r="AA33" s="112"/>
      <c r="AB33" s="111"/>
      <c r="AC33" s="112"/>
      <c r="AD33" s="111"/>
      <c r="AE33" s="112"/>
    </row>
    <row r="34" spans="1:31" ht="13.2" x14ac:dyDescent="0.25">
      <c r="A34" s="58" t="s">
        <v>13</v>
      </c>
      <c r="B34" s="90" t="s">
        <v>0</v>
      </c>
      <c r="C34" s="180">
        <v>7</v>
      </c>
      <c r="D34" s="23">
        <v>49.9</v>
      </c>
      <c r="E34" s="24">
        <v>50</v>
      </c>
      <c r="F34" s="220">
        <f>C34*(D34+E34)</f>
        <v>699.30000000000007</v>
      </c>
      <c r="G34" s="199">
        <v>0</v>
      </c>
      <c r="H34" s="144"/>
      <c r="I34" s="144">
        <f>C34*G34</f>
        <v>0</v>
      </c>
      <c r="J34" s="144">
        <v>0</v>
      </c>
      <c r="K34" s="144">
        <f>J34*C34</f>
        <v>0</v>
      </c>
      <c r="L34" s="144">
        <v>0</v>
      </c>
      <c r="M34" s="144">
        <f>L34*E34</f>
        <v>0</v>
      </c>
      <c r="N34" s="145">
        <v>0</v>
      </c>
      <c r="O34" s="144">
        <f t="shared" ref="O34:O39" si="28">N34*J34</f>
        <v>0</v>
      </c>
      <c r="P34" s="146">
        <v>50</v>
      </c>
      <c r="Q34" s="144">
        <f>P34*C34</f>
        <v>350</v>
      </c>
      <c r="R34" s="144">
        <v>0</v>
      </c>
      <c r="S34" s="144">
        <f t="shared" ref="S34:S39" si="29">R34*N34</f>
        <v>0</v>
      </c>
      <c r="T34" s="144">
        <v>0</v>
      </c>
      <c r="U34" s="144">
        <f t="shared" ref="U34:U39" si="30">T34*P34</f>
        <v>0</v>
      </c>
      <c r="V34" s="144">
        <v>0</v>
      </c>
      <c r="W34" s="144">
        <f t="shared" ref="W34:W39" si="31">V34*R34</f>
        <v>0</v>
      </c>
      <c r="X34" s="144">
        <v>0</v>
      </c>
      <c r="Y34" s="144">
        <f t="shared" ref="Y34:Y39" si="32">X34*T34</f>
        <v>0</v>
      </c>
      <c r="Z34" s="144">
        <v>0</v>
      </c>
      <c r="AA34" s="144">
        <f t="shared" ref="AA34:AA39" si="33">Z34*V34</f>
        <v>0</v>
      </c>
      <c r="AB34" s="144">
        <v>0</v>
      </c>
      <c r="AC34" s="144">
        <f t="shared" ref="AC34:AC39" si="34">AB34*X34</f>
        <v>0</v>
      </c>
      <c r="AD34" s="144">
        <v>0</v>
      </c>
      <c r="AE34" s="144">
        <f t="shared" ref="AE34:AE39" si="35">AD34*Z34</f>
        <v>0</v>
      </c>
    </row>
    <row r="35" spans="1:31" ht="13.2" x14ac:dyDescent="0.25">
      <c r="A35" s="59" t="s">
        <v>14</v>
      </c>
      <c r="B35" s="90" t="s">
        <v>0</v>
      </c>
      <c r="C35" s="180">
        <v>2</v>
      </c>
      <c r="D35" s="23">
        <v>26.69</v>
      </c>
      <c r="E35" s="24">
        <v>50</v>
      </c>
      <c r="F35" s="220">
        <f>C35*(D35+E35)</f>
        <v>153.38</v>
      </c>
      <c r="G35" s="199">
        <v>0</v>
      </c>
      <c r="H35" s="144"/>
      <c r="I35" s="144">
        <f>C35*G35</f>
        <v>0</v>
      </c>
      <c r="J35" s="144">
        <v>0</v>
      </c>
      <c r="K35" s="144">
        <f>J35*C35</f>
        <v>0</v>
      </c>
      <c r="L35" s="144">
        <v>0</v>
      </c>
      <c r="M35" s="144">
        <f>L35*E35</f>
        <v>0</v>
      </c>
      <c r="N35" s="145">
        <v>0</v>
      </c>
      <c r="O35" s="144">
        <f t="shared" si="28"/>
        <v>0</v>
      </c>
      <c r="P35" s="146">
        <v>50</v>
      </c>
      <c r="Q35" s="144">
        <f>P35*C35</f>
        <v>100</v>
      </c>
      <c r="R35" s="144">
        <v>0</v>
      </c>
      <c r="S35" s="144">
        <f t="shared" si="29"/>
        <v>0</v>
      </c>
      <c r="T35" s="144">
        <v>0</v>
      </c>
      <c r="U35" s="144">
        <f t="shared" si="30"/>
        <v>0</v>
      </c>
      <c r="V35" s="144">
        <v>0</v>
      </c>
      <c r="W35" s="144">
        <f t="shared" si="31"/>
        <v>0</v>
      </c>
      <c r="X35" s="144">
        <v>0</v>
      </c>
      <c r="Y35" s="144">
        <f t="shared" si="32"/>
        <v>0</v>
      </c>
      <c r="Z35" s="144">
        <v>0</v>
      </c>
      <c r="AA35" s="144">
        <f t="shared" si="33"/>
        <v>0</v>
      </c>
      <c r="AB35" s="144">
        <v>0</v>
      </c>
      <c r="AC35" s="144">
        <f t="shared" si="34"/>
        <v>0</v>
      </c>
      <c r="AD35" s="144">
        <v>0</v>
      </c>
      <c r="AE35" s="144">
        <f t="shared" si="35"/>
        <v>0</v>
      </c>
    </row>
    <row r="36" spans="1:31" ht="13.2" x14ac:dyDescent="0.25">
      <c r="A36" s="60" t="s">
        <v>105</v>
      </c>
      <c r="B36" s="91" t="s">
        <v>0</v>
      </c>
      <c r="C36" s="181">
        <v>1</v>
      </c>
      <c r="D36" s="240">
        <v>59.09</v>
      </c>
      <c r="E36" s="24">
        <v>100</v>
      </c>
      <c r="F36" s="220">
        <f>C36*(D36+E36)</f>
        <v>159.09</v>
      </c>
      <c r="G36" s="199">
        <v>0</v>
      </c>
      <c r="H36" s="144"/>
      <c r="I36" s="144">
        <f>C36*G36</f>
        <v>0</v>
      </c>
      <c r="J36" s="144">
        <v>0</v>
      </c>
      <c r="K36" s="144">
        <f>J36*C36</f>
        <v>0</v>
      </c>
      <c r="L36" s="144">
        <v>0</v>
      </c>
      <c r="M36" s="144">
        <f>L36*E36</f>
        <v>0</v>
      </c>
      <c r="N36" s="145">
        <v>0</v>
      </c>
      <c r="O36" s="144">
        <f t="shared" si="28"/>
        <v>0</v>
      </c>
      <c r="P36" s="146">
        <v>100</v>
      </c>
      <c r="Q36" s="144">
        <f>P36*C36</f>
        <v>100</v>
      </c>
      <c r="R36" s="144">
        <v>0</v>
      </c>
      <c r="S36" s="144">
        <f t="shared" si="29"/>
        <v>0</v>
      </c>
      <c r="T36" s="144">
        <v>0</v>
      </c>
      <c r="U36" s="144">
        <f t="shared" si="30"/>
        <v>0</v>
      </c>
      <c r="V36" s="144">
        <v>0</v>
      </c>
      <c r="W36" s="144">
        <f t="shared" si="31"/>
        <v>0</v>
      </c>
      <c r="X36" s="144">
        <v>0</v>
      </c>
      <c r="Y36" s="144">
        <f t="shared" si="32"/>
        <v>0</v>
      </c>
      <c r="Z36" s="144">
        <v>0</v>
      </c>
      <c r="AA36" s="144">
        <f t="shared" si="33"/>
        <v>0</v>
      </c>
      <c r="AB36" s="144">
        <v>0</v>
      </c>
      <c r="AC36" s="144">
        <f t="shared" si="34"/>
        <v>0</v>
      </c>
      <c r="AD36" s="144">
        <v>0</v>
      </c>
      <c r="AE36" s="144">
        <f t="shared" si="35"/>
        <v>0</v>
      </c>
    </row>
    <row r="37" spans="1:31" ht="13.2" x14ac:dyDescent="0.25">
      <c r="A37" s="60" t="s">
        <v>27</v>
      </c>
      <c r="B37" s="91" t="s">
        <v>0</v>
      </c>
      <c r="C37" s="181">
        <v>13</v>
      </c>
      <c r="D37" s="240">
        <f>57.09</f>
        <v>57.09</v>
      </c>
      <c r="E37" s="24">
        <v>65</v>
      </c>
      <c r="F37" s="221">
        <f>C37*(D37+E37)</f>
        <v>1587.17</v>
      </c>
      <c r="G37" s="199">
        <v>0</v>
      </c>
      <c r="H37" s="144"/>
      <c r="I37" s="144">
        <f>C37*G37</f>
        <v>0</v>
      </c>
      <c r="J37" s="144">
        <v>0</v>
      </c>
      <c r="K37" s="144">
        <f>J37*C37</f>
        <v>0</v>
      </c>
      <c r="L37" s="144">
        <v>0</v>
      </c>
      <c r="M37" s="144">
        <f>L37*E37</f>
        <v>0</v>
      </c>
      <c r="N37" s="145">
        <v>0</v>
      </c>
      <c r="O37" s="144">
        <f t="shared" si="28"/>
        <v>0</v>
      </c>
      <c r="P37" s="146">
        <v>65</v>
      </c>
      <c r="Q37" s="144">
        <f>P37*C37</f>
        <v>845</v>
      </c>
      <c r="R37" s="144">
        <v>0</v>
      </c>
      <c r="S37" s="144">
        <f t="shared" si="29"/>
        <v>0</v>
      </c>
      <c r="T37" s="144">
        <v>0</v>
      </c>
      <c r="U37" s="144">
        <f t="shared" si="30"/>
        <v>0</v>
      </c>
      <c r="V37" s="144">
        <v>0</v>
      </c>
      <c r="W37" s="144">
        <f t="shared" si="31"/>
        <v>0</v>
      </c>
      <c r="X37" s="144">
        <v>0</v>
      </c>
      <c r="Y37" s="144">
        <f t="shared" si="32"/>
        <v>0</v>
      </c>
      <c r="Z37" s="144">
        <v>0</v>
      </c>
      <c r="AA37" s="144">
        <f t="shared" si="33"/>
        <v>0</v>
      </c>
      <c r="AB37" s="144">
        <v>0</v>
      </c>
      <c r="AC37" s="144">
        <f t="shared" si="34"/>
        <v>0</v>
      </c>
      <c r="AD37" s="144">
        <v>0</v>
      </c>
      <c r="AE37" s="144">
        <f t="shared" si="35"/>
        <v>0</v>
      </c>
    </row>
    <row r="38" spans="1:31" ht="13.2" x14ac:dyDescent="0.25">
      <c r="A38" s="60" t="s">
        <v>106</v>
      </c>
      <c r="B38" s="91" t="s">
        <v>0</v>
      </c>
      <c r="C38" s="181">
        <v>1</v>
      </c>
      <c r="D38" s="240">
        <f>(41.24+24)*3*2.85</f>
        <v>557.80200000000013</v>
      </c>
      <c r="E38" s="24">
        <v>0</v>
      </c>
      <c r="F38" s="221">
        <f>C38*(D38+E38)</f>
        <v>557.80200000000013</v>
      </c>
      <c r="G38" s="126"/>
      <c r="H38" s="126"/>
      <c r="I38" s="126"/>
      <c r="J38" s="126"/>
      <c r="K38" s="126"/>
      <c r="L38" s="126"/>
      <c r="M38" s="126"/>
      <c r="N38" s="238"/>
      <c r="O38" s="126"/>
      <c r="P38" s="239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</row>
    <row r="39" spans="1:31" ht="13.2" x14ac:dyDescent="0.25">
      <c r="A39" s="6"/>
      <c r="C39" s="7"/>
      <c r="D39" s="6"/>
      <c r="F39" s="222">
        <f>SUM(F34:F38)</f>
        <v>3156.7420000000002</v>
      </c>
      <c r="I39" s="112">
        <f>SUM(I34:I37)</f>
        <v>0</v>
      </c>
      <c r="J39" s="111"/>
      <c r="K39" s="112">
        <f>J39*C39</f>
        <v>0</v>
      </c>
      <c r="L39" s="111"/>
      <c r="M39" s="112">
        <f>L39*E39</f>
        <v>0</v>
      </c>
      <c r="N39" s="124"/>
      <c r="O39" s="112">
        <f t="shared" si="28"/>
        <v>0</v>
      </c>
      <c r="P39" s="125"/>
      <c r="Q39" s="112">
        <f>SUM(Q34:Q37)</f>
        <v>1395</v>
      </c>
      <c r="R39" s="111"/>
      <c r="S39" s="112">
        <f t="shared" si="29"/>
        <v>0</v>
      </c>
      <c r="T39" s="111"/>
      <c r="U39" s="112">
        <f t="shared" si="30"/>
        <v>0</v>
      </c>
      <c r="V39" s="111"/>
      <c r="W39" s="112">
        <f t="shared" si="31"/>
        <v>0</v>
      </c>
      <c r="X39" s="111"/>
      <c r="Y39" s="112">
        <f t="shared" si="32"/>
        <v>0</v>
      </c>
      <c r="Z39" s="111"/>
      <c r="AA39" s="112">
        <f t="shared" si="33"/>
        <v>0</v>
      </c>
      <c r="AB39" s="111"/>
      <c r="AC39" s="112">
        <f t="shared" si="34"/>
        <v>0</v>
      </c>
      <c r="AD39" s="111"/>
      <c r="AE39" s="112">
        <f t="shared" si="35"/>
        <v>0</v>
      </c>
    </row>
    <row r="40" spans="1:31" ht="13.2" x14ac:dyDescent="0.25">
      <c r="A40" s="61" t="s">
        <v>36</v>
      </c>
      <c r="B40" s="92" t="s">
        <v>0</v>
      </c>
      <c r="C40" s="182" t="s">
        <v>1</v>
      </c>
      <c r="D40" s="25" t="s">
        <v>2</v>
      </c>
      <c r="E40" s="26" t="s">
        <v>3</v>
      </c>
      <c r="F40" s="223" t="s">
        <v>7</v>
      </c>
      <c r="I40" s="112"/>
      <c r="J40" s="111"/>
      <c r="K40" s="112"/>
      <c r="L40" s="111"/>
      <c r="M40" s="112"/>
      <c r="N40" s="124"/>
      <c r="O40" s="112"/>
      <c r="P40" s="125"/>
      <c r="Q40" s="112"/>
      <c r="R40" s="111"/>
      <c r="S40" s="112"/>
      <c r="T40" s="111"/>
      <c r="U40" s="112"/>
      <c r="V40" s="111"/>
      <c r="W40" s="112"/>
      <c r="X40" s="111"/>
      <c r="Y40" s="112"/>
      <c r="Z40" s="111"/>
      <c r="AA40" s="112"/>
      <c r="AB40" s="111"/>
      <c r="AC40" s="112"/>
      <c r="AD40" s="111"/>
      <c r="AE40" s="112"/>
    </row>
    <row r="41" spans="1:31" ht="13.2" x14ac:dyDescent="0.25">
      <c r="A41" s="62" t="s">
        <v>20</v>
      </c>
      <c r="B41" s="93" t="s">
        <v>0</v>
      </c>
      <c r="C41" s="183">
        <v>2</v>
      </c>
      <c r="D41" s="27">
        <v>100</v>
      </c>
      <c r="E41" s="28">
        <v>400</v>
      </c>
      <c r="F41" s="224">
        <f>C41*(D41+E41)</f>
        <v>1000</v>
      </c>
      <c r="G41" s="200">
        <v>100</v>
      </c>
      <c r="H41" s="147">
        <v>400</v>
      </c>
      <c r="I41" s="147">
        <f>C41*(G41+H41)</f>
        <v>1000</v>
      </c>
      <c r="J41" s="147">
        <v>0</v>
      </c>
      <c r="K41" s="147">
        <f>J41*C41</f>
        <v>0</v>
      </c>
      <c r="L41" s="147">
        <v>0</v>
      </c>
      <c r="M41" s="147">
        <f>L41*E41</f>
        <v>0</v>
      </c>
      <c r="N41" s="148">
        <v>0</v>
      </c>
      <c r="O41" s="147">
        <f>N41*J41</f>
        <v>0</v>
      </c>
      <c r="P41" s="149">
        <v>150</v>
      </c>
      <c r="Q41" s="147">
        <f>P41*C41</f>
        <v>300</v>
      </c>
      <c r="R41" s="147">
        <v>0</v>
      </c>
      <c r="S41" s="147">
        <f>R41*N41</f>
        <v>0</v>
      </c>
      <c r="T41" s="147">
        <v>0</v>
      </c>
      <c r="U41" s="147">
        <f>T41*P41</f>
        <v>0</v>
      </c>
      <c r="V41" s="147">
        <v>0</v>
      </c>
      <c r="W41" s="147">
        <f>V41*R41</f>
        <v>0</v>
      </c>
      <c r="X41" s="147">
        <v>0</v>
      </c>
      <c r="Y41" s="147">
        <f>X41*T41</f>
        <v>0</v>
      </c>
      <c r="Z41" s="147">
        <v>0</v>
      </c>
      <c r="AA41" s="147">
        <f>Z41*V41</f>
        <v>0</v>
      </c>
      <c r="AB41" s="147">
        <v>0</v>
      </c>
      <c r="AC41" s="147">
        <f>AB41*X41</f>
        <v>0</v>
      </c>
      <c r="AD41" s="147">
        <v>0</v>
      </c>
      <c r="AE41" s="147">
        <f>AD41*Z41</f>
        <v>0</v>
      </c>
    </row>
    <row r="42" spans="1:31" ht="13.2" x14ac:dyDescent="0.25">
      <c r="A42" s="62" t="s">
        <v>53</v>
      </c>
      <c r="B42" s="94" t="s">
        <v>0</v>
      </c>
      <c r="C42" s="184">
        <v>1</v>
      </c>
      <c r="D42" s="27">
        <v>100</v>
      </c>
      <c r="E42" s="28">
        <v>150</v>
      </c>
      <c r="F42" s="224">
        <f>C42*(D42+E42)</f>
        <v>250</v>
      </c>
      <c r="G42" s="200">
        <v>100</v>
      </c>
      <c r="H42" s="147">
        <v>150</v>
      </c>
      <c r="I42" s="147">
        <f>C42*(G42+H42)</f>
        <v>250</v>
      </c>
      <c r="J42" s="147">
        <v>0</v>
      </c>
      <c r="K42" s="147">
        <f>J42*C42</f>
        <v>0</v>
      </c>
      <c r="L42" s="147">
        <v>0</v>
      </c>
      <c r="M42" s="147">
        <f>L42*E42</f>
        <v>0</v>
      </c>
      <c r="N42" s="148">
        <v>0</v>
      </c>
      <c r="O42" s="147">
        <f>N42*J42</f>
        <v>0</v>
      </c>
      <c r="P42" s="149">
        <v>120</v>
      </c>
      <c r="Q42" s="147">
        <f>P42*C42</f>
        <v>120</v>
      </c>
      <c r="R42" s="147">
        <v>0</v>
      </c>
      <c r="S42" s="147">
        <f>R42*N42</f>
        <v>0</v>
      </c>
      <c r="T42" s="147">
        <v>0</v>
      </c>
      <c r="U42" s="147">
        <f>T42*P42</f>
        <v>0</v>
      </c>
      <c r="V42" s="147">
        <v>0</v>
      </c>
      <c r="W42" s="147">
        <f>V42*R42</f>
        <v>0</v>
      </c>
      <c r="X42" s="147">
        <v>0</v>
      </c>
      <c r="Y42" s="147">
        <f>X42*T42</f>
        <v>0</v>
      </c>
      <c r="Z42" s="147">
        <v>0</v>
      </c>
      <c r="AA42" s="147">
        <f>Z42*V42</f>
        <v>0</v>
      </c>
      <c r="AB42" s="147">
        <v>0</v>
      </c>
      <c r="AC42" s="147">
        <f>AB42*X42</f>
        <v>0</v>
      </c>
      <c r="AD42" s="147">
        <v>0</v>
      </c>
      <c r="AE42" s="147">
        <f>AD42*Z42</f>
        <v>0</v>
      </c>
    </row>
    <row r="43" spans="1:31" ht="13.2" x14ac:dyDescent="0.25">
      <c r="A43" s="63" t="s">
        <v>22</v>
      </c>
      <c r="B43" s="94" t="s">
        <v>0</v>
      </c>
      <c r="C43" s="184">
        <f>13+16+13+6+12</f>
        <v>60</v>
      </c>
      <c r="D43" s="27">
        <v>100</v>
      </c>
      <c r="E43" s="28">
        <v>35</v>
      </c>
      <c r="F43" s="224">
        <f>C43*(D43+E43)</f>
        <v>8100</v>
      </c>
      <c r="G43" s="200">
        <v>100</v>
      </c>
      <c r="H43" s="147">
        <f>2100/60</f>
        <v>35</v>
      </c>
      <c r="I43" s="147">
        <f>C43*(G43+H43)</f>
        <v>8100</v>
      </c>
      <c r="J43" s="147">
        <v>190</v>
      </c>
      <c r="K43" s="147">
        <f>J43*C43</f>
        <v>11400</v>
      </c>
      <c r="L43" s="147">
        <v>0</v>
      </c>
      <c r="M43" s="147">
        <f>L43*E43</f>
        <v>0</v>
      </c>
      <c r="N43" s="148">
        <v>190</v>
      </c>
      <c r="O43" s="147">
        <f>N43*C43</f>
        <v>11400</v>
      </c>
      <c r="P43" s="149">
        <v>60</v>
      </c>
      <c r="Q43" s="147">
        <f>P43*C43</f>
        <v>3600</v>
      </c>
      <c r="R43" s="147">
        <v>0</v>
      </c>
      <c r="S43" s="147">
        <f>R43*N43</f>
        <v>0</v>
      </c>
      <c r="T43" s="147">
        <v>0</v>
      </c>
      <c r="U43" s="147">
        <f>T43*P43</f>
        <v>0</v>
      </c>
      <c r="V43" s="147">
        <v>0</v>
      </c>
      <c r="W43" s="147">
        <f>V43*R43</f>
        <v>0</v>
      </c>
      <c r="X43" s="147">
        <v>0</v>
      </c>
      <c r="Y43" s="147">
        <f>X43*T43</f>
        <v>0</v>
      </c>
      <c r="Z43" s="147">
        <v>0</v>
      </c>
      <c r="AA43" s="147">
        <f>Z43*V43</f>
        <v>0</v>
      </c>
      <c r="AB43" s="147">
        <v>0</v>
      </c>
      <c r="AC43" s="147">
        <f>AB43*X43</f>
        <v>0</v>
      </c>
      <c r="AD43" s="147">
        <v>0</v>
      </c>
      <c r="AE43" s="147">
        <f>AD43*Z43</f>
        <v>0</v>
      </c>
    </row>
    <row r="44" spans="1:31" ht="13.2" x14ac:dyDescent="0.25">
      <c r="A44" s="63" t="s">
        <v>23</v>
      </c>
      <c r="B44" s="94" t="s">
        <v>17</v>
      </c>
      <c r="C44" s="184">
        <f>170+170+170+75+79.39</f>
        <v>664.39</v>
      </c>
      <c r="D44" s="27">
        <v>10</v>
      </c>
      <c r="E44" s="28">
        <v>0.6</v>
      </c>
      <c r="F44" s="224">
        <f>C44*(D44+E44)</f>
        <v>7042.5339999999997</v>
      </c>
      <c r="G44" s="200">
        <v>10</v>
      </c>
      <c r="H44" s="147">
        <f>400/C44</f>
        <v>0.60205602131278313</v>
      </c>
      <c r="I44" s="147">
        <f>C44*(G44+H44)</f>
        <v>7043.9000000000005</v>
      </c>
      <c r="J44" s="147">
        <v>0</v>
      </c>
      <c r="K44" s="147">
        <f>J44*C44</f>
        <v>0</v>
      </c>
      <c r="L44" s="147">
        <v>0</v>
      </c>
      <c r="M44" s="147">
        <f>L44*E44</f>
        <v>0</v>
      </c>
      <c r="N44" s="148">
        <v>0</v>
      </c>
      <c r="O44" s="147">
        <f>N44*J44</f>
        <v>0</v>
      </c>
      <c r="P44" s="149">
        <v>25</v>
      </c>
      <c r="Q44" s="147">
        <f>P44*C44</f>
        <v>16609.75</v>
      </c>
      <c r="R44" s="147">
        <v>0</v>
      </c>
      <c r="S44" s="147">
        <f>R44*N44</f>
        <v>0</v>
      </c>
      <c r="T44" s="147">
        <v>0</v>
      </c>
      <c r="U44" s="147">
        <f>T44*P44</f>
        <v>0</v>
      </c>
      <c r="V44" s="147">
        <v>0</v>
      </c>
      <c r="W44" s="147">
        <f>V44*R44</f>
        <v>0</v>
      </c>
      <c r="X44" s="147">
        <v>0</v>
      </c>
      <c r="Y44" s="147">
        <f>X44*T44</f>
        <v>0</v>
      </c>
      <c r="Z44" s="147">
        <v>0</v>
      </c>
      <c r="AA44" s="147">
        <f>Z44*V44</f>
        <v>0</v>
      </c>
      <c r="AB44" s="147">
        <v>0</v>
      </c>
      <c r="AC44" s="147">
        <f>AB44*X44</f>
        <v>0</v>
      </c>
      <c r="AD44" s="147">
        <v>0</v>
      </c>
      <c r="AE44" s="147">
        <f>AD44*Z44</f>
        <v>0</v>
      </c>
    </row>
    <row r="45" spans="1:31" ht="13.2" x14ac:dyDescent="0.25">
      <c r="A45" s="64"/>
      <c r="B45" s="95"/>
      <c r="C45" s="185"/>
      <c r="D45" s="29"/>
      <c r="E45" s="30"/>
      <c r="F45" s="224">
        <f>SUM(F41:F44)</f>
        <v>16392.534</v>
      </c>
      <c r="I45" s="112">
        <f>SUM(I41:I44)</f>
        <v>16393.900000000001</v>
      </c>
      <c r="J45" s="111"/>
      <c r="K45" s="112">
        <f>SUM(K41:K44)</f>
        <v>11400</v>
      </c>
      <c r="L45" s="111"/>
      <c r="M45" s="112">
        <f>L45*E45</f>
        <v>0</v>
      </c>
      <c r="N45" s="124"/>
      <c r="O45" s="112">
        <f>SUM(O41:O44)</f>
        <v>11400</v>
      </c>
      <c r="P45" s="125"/>
      <c r="Q45" s="112">
        <f>SUM(Q41:Q44)</f>
        <v>20629.75</v>
      </c>
      <c r="R45" s="111"/>
      <c r="S45" s="112">
        <f>R45*N45</f>
        <v>0</v>
      </c>
      <c r="T45" s="111"/>
      <c r="U45" s="112">
        <f>T45*P45</f>
        <v>0</v>
      </c>
      <c r="V45" s="111"/>
      <c r="W45" s="112">
        <f>V45*R45</f>
        <v>0</v>
      </c>
      <c r="X45" s="111"/>
      <c r="Y45" s="112">
        <f>X45*T45</f>
        <v>0</v>
      </c>
      <c r="Z45" s="111"/>
      <c r="AA45" s="112">
        <f>Z45*V45</f>
        <v>0</v>
      </c>
      <c r="AB45" s="111"/>
      <c r="AC45" s="112">
        <f>AB45*X45</f>
        <v>0</v>
      </c>
      <c r="AD45" s="111"/>
      <c r="AE45" s="112">
        <f>AD45*Z45</f>
        <v>0</v>
      </c>
    </row>
    <row r="46" spans="1:31" ht="13.2" x14ac:dyDescent="0.25">
      <c r="A46" s="65" t="s">
        <v>37</v>
      </c>
      <c r="B46" s="96" t="s">
        <v>0</v>
      </c>
      <c r="C46" s="186" t="s">
        <v>1</v>
      </c>
      <c r="D46" s="130" t="s">
        <v>2</v>
      </c>
      <c r="E46" s="118" t="s">
        <v>3</v>
      </c>
      <c r="F46" s="225" t="s">
        <v>7</v>
      </c>
      <c r="I46" s="112"/>
      <c r="J46" s="111"/>
      <c r="K46" s="112"/>
      <c r="L46" s="111"/>
      <c r="M46" s="112"/>
      <c r="N46" s="124"/>
      <c r="O46" s="112"/>
      <c r="P46" s="125"/>
      <c r="Q46" s="112"/>
      <c r="R46" s="111"/>
      <c r="S46" s="112"/>
      <c r="T46" s="111"/>
      <c r="U46" s="112"/>
      <c r="V46" s="111"/>
      <c r="W46" s="112"/>
      <c r="X46" s="111"/>
      <c r="Y46" s="112"/>
      <c r="Z46" s="111"/>
      <c r="AA46" s="112"/>
      <c r="AB46" s="111"/>
      <c r="AC46" s="112"/>
      <c r="AD46" s="111"/>
      <c r="AE46" s="112"/>
    </row>
    <row r="47" spans="1:31" ht="13.2" x14ac:dyDescent="0.25">
      <c r="A47" s="66" t="s">
        <v>48</v>
      </c>
      <c r="B47" s="97" t="s">
        <v>0</v>
      </c>
      <c r="C47" s="129">
        <v>1</v>
      </c>
      <c r="D47" s="501">
        <v>4268.1400000000003</v>
      </c>
      <c r="E47" s="405"/>
      <c r="F47" s="226">
        <f>C47*D47</f>
        <v>4268.1400000000003</v>
      </c>
      <c r="G47" s="201">
        <v>0</v>
      </c>
      <c r="H47" s="150"/>
      <c r="I47" s="150">
        <f t="shared" ref="I47:I53" si="36">C47*G47</f>
        <v>0</v>
      </c>
      <c r="J47" s="150">
        <v>0</v>
      </c>
      <c r="K47" s="150">
        <f t="shared" ref="K47:K54" si="37">J47*C47</f>
        <v>0</v>
      </c>
      <c r="L47" s="150">
        <v>0</v>
      </c>
      <c r="M47" s="150">
        <f t="shared" ref="M47:M53" si="38">L47*D47</f>
        <v>0</v>
      </c>
      <c r="N47" s="151">
        <v>0</v>
      </c>
      <c r="O47" s="150">
        <f t="shared" ref="O47:O54" si="39">N47*J47</f>
        <v>0</v>
      </c>
      <c r="P47" s="152">
        <v>300</v>
      </c>
      <c r="Q47" s="150">
        <f t="shared" ref="Q47:Q53" si="40">P47*C47</f>
        <v>300</v>
      </c>
      <c r="R47" s="150">
        <v>0</v>
      </c>
      <c r="S47" s="150">
        <f t="shared" ref="S47:S54" si="41">R47*N47</f>
        <v>0</v>
      </c>
      <c r="T47" s="150">
        <v>4564.24</v>
      </c>
      <c r="U47" s="150">
        <f t="shared" ref="U47:U53" si="42">C47*T47</f>
        <v>4564.24</v>
      </c>
      <c r="V47" s="150">
        <v>0</v>
      </c>
      <c r="W47" s="150">
        <f t="shared" ref="W47:W54" si="43">V47*R47</f>
        <v>0</v>
      </c>
      <c r="X47" s="150">
        <v>0</v>
      </c>
      <c r="Y47" s="150">
        <f t="shared" ref="Y47:Y54" si="44">X47*T47</f>
        <v>0</v>
      </c>
      <c r="Z47" s="150">
        <v>0</v>
      </c>
      <c r="AA47" s="150">
        <f t="shared" ref="AA47:AA54" si="45">Z47*V47</f>
        <v>0</v>
      </c>
      <c r="AB47" s="150">
        <v>4268.1400000000003</v>
      </c>
      <c r="AC47" s="150">
        <f t="shared" ref="AC47:AC53" si="46">AB47*C47</f>
        <v>4268.1400000000003</v>
      </c>
      <c r="AD47" s="150">
        <v>0</v>
      </c>
      <c r="AE47" s="150">
        <f t="shared" ref="AE47:AE54" si="47">AD47*Z47</f>
        <v>0</v>
      </c>
    </row>
    <row r="48" spans="1:31" ht="13.2" x14ac:dyDescent="0.25">
      <c r="A48" s="66" t="s">
        <v>47</v>
      </c>
      <c r="B48" s="97" t="s">
        <v>0</v>
      </c>
      <c r="C48" s="129">
        <v>1</v>
      </c>
      <c r="D48" s="501">
        <v>7611.46</v>
      </c>
      <c r="E48" s="405"/>
      <c r="F48" s="226">
        <f t="shared" ref="F48:F53" si="48">C48*D48</f>
        <v>7611.46</v>
      </c>
      <c r="G48" s="201">
        <v>0</v>
      </c>
      <c r="H48" s="150"/>
      <c r="I48" s="150">
        <f t="shared" si="36"/>
        <v>0</v>
      </c>
      <c r="J48" s="150">
        <v>0</v>
      </c>
      <c r="K48" s="150">
        <f t="shared" si="37"/>
        <v>0</v>
      </c>
      <c r="L48" s="150">
        <v>0</v>
      </c>
      <c r="M48" s="150">
        <f t="shared" si="38"/>
        <v>0</v>
      </c>
      <c r="N48" s="151">
        <v>0</v>
      </c>
      <c r="O48" s="150">
        <f t="shared" si="39"/>
        <v>0</v>
      </c>
      <c r="P48" s="152">
        <v>350</v>
      </c>
      <c r="Q48" s="150">
        <f t="shared" si="40"/>
        <v>350</v>
      </c>
      <c r="R48" s="150">
        <v>0</v>
      </c>
      <c r="S48" s="150">
        <f t="shared" si="41"/>
        <v>0</v>
      </c>
      <c r="T48" s="150">
        <v>9516.7900000000009</v>
      </c>
      <c r="U48" s="150">
        <f t="shared" si="42"/>
        <v>9516.7900000000009</v>
      </c>
      <c r="V48" s="150">
        <v>0</v>
      </c>
      <c r="W48" s="150">
        <f t="shared" si="43"/>
        <v>0</v>
      </c>
      <c r="X48" s="150">
        <v>0</v>
      </c>
      <c r="Y48" s="150">
        <f t="shared" si="44"/>
        <v>0</v>
      </c>
      <c r="Z48" s="150">
        <v>0</v>
      </c>
      <c r="AA48" s="150">
        <f t="shared" si="45"/>
        <v>0</v>
      </c>
      <c r="AB48" s="150">
        <v>7611.46</v>
      </c>
      <c r="AC48" s="150">
        <f t="shared" si="46"/>
        <v>7611.46</v>
      </c>
      <c r="AD48" s="150">
        <v>0</v>
      </c>
      <c r="AE48" s="150">
        <f t="shared" si="47"/>
        <v>0</v>
      </c>
    </row>
    <row r="49" spans="1:31" ht="13.2" x14ac:dyDescent="0.25">
      <c r="A49" s="66" t="s">
        <v>46</v>
      </c>
      <c r="B49" s="97" t="s">
        <v>0</v>
      </c>
      <c r="C49" s="129">
        <v>1</v>
      </c>
      <c r="D49" s="501">
        <v>4215.7</v>
      </c>
      <c r="E49" s="405"/>
      <c r="F49" s="226">
        <f t="shared" si="48"/>
        <v>4215.7</v>
      </c>
      <c r="G49" s="201">
        <v>0</v>
      </c>
      <c r="H49" s="150"/>
      <c r="I49" s="150">
        <f t="shared" si="36"/>
        <v>0</v>
      </c>
      <c r="J49" s="150">
        <v>0</v>
      </c>
      <c r="K49" s="150">
        <f t="shared" si="37"/>
        <v>0</v>
      </c>
      <c r="L49" s="150">
        <v>0</v>
      </c>
      <c r="M49" s="150">
        <f t="shared" si="38"/>
        <v>0</v>
      </c>
      <c r="N49" s="151">
        <v>0</v>
      </c>
      <c r="O49" s="150">
        <f t="shared" si="39"/>
        <v>0</v>
      </c>
      <c r="P49" s="152">
        <v>250</v>
      </c>
      <c r="Q49" s="150">
        <f t="shared" si="40"/>
        <v>250</v>
      </c>
      <c r="R49" s="150">
        <v>0</v>
      </c>
      <c r="S49" s="150">
        <f t="shared" si="41"/>
        <v>0</v>
      </c>
      <c r="T49" s="150">
        <v>4400.0200000000004</v>
      </c>
      <c r="U49" s="150">
        <f t="shared" si="42"/>
        <v>4400.0200000000004</v>
      </c>
      <c r="V49" s="150">
        <v>0</v>
      </c>
      <c r="W49" s="150">
        <f t="shared" si="43"/>
        <v>0</v>
      </c>
      <c r="X49" s="150">
        <v>0</v>
      </c>
      <c r="Y49" s="150">
        <f t="shared" si="44"/>
        <v>0</v>
      </c>
      <c r="Z49" s="150">
        <v>0</v>
      </c>
      <c r="AA49" s="150">
        <f t="shared" si="45"/>
        <v>0</v>
      </c>
      <c r="AB49" s="150">
        <v>4215.7</v>
      </c>
      <c r="AC49" s="150">
        <f t="shared" si="46"/>
        <v>4215.7</v>
      </c>
      <c r="AD49" s="150">
        <v>0</v>
      </c>
      <c r="AE49" s="150">
        <f t="shared" si="47"/>
        <v>0</v>
      </c>
    </row>
    <row r="50" spans="1:31" ht="13.2" x14ac:dyDescent="0.25">
      <c r="A50" s="66" t="s">
        <v>45</v>
      </c>
      <c r="B50" s="97" t="s">
        <v>0</v>
      </c>
      <c r="C50" s="129">
        <v>1</v>
      </c>
      <c r="D50" s="501">
        <v>3814</v>
      </c>
      <c r="E50" s="405"/>
      <c r="F50" s="226">
        <f t="shared" si="48"/>
        <v>3814</v>
      </c>
      <c r="G50" s="201">
        <v>0</v>
      </c>
      <c r="H50" s="150"/>
      <c r="I50" s="150">
        <f t="shared" si="36"/>
        <v>0</v>
      </c>
      <c r="J50" s="150">
        <v>0</v>
      </c>
      <c r="K50" s="150">
        <f t="shared" si="37"/>
        <v>0</v>
      </c>
      <c r="L50" s="150">
        <v>0</v>
      </c>
      <c r="M50" s="150">
        <f t="shared" si="38"/>
        <v>0</v>
      </c>
      <c r="N50" s="151">
        <v>0</v>
      </c>
      <c r="O50" s="150">
        <f t="shared" si="39"/>
        <v>0</v>
      </c>
      <c r="P50" s="152">
        <v>200</v>
      </c>
      <c r="Q50" s="150">
        <f t="shared" si="40"/>
        <v>200</v>
      </c>
      <c r="R50" s="150">
        <v>0</v>
      </c>
      <c r="S50" s="150">
        <f t="shared" si="41"/>
        <v>0</v>
      </c>
      <c r="T50" s="153">
        <v>3956.82</v>
      </c>
      <c r="U50" s="150">
        <f t="shared" si="42"/>
        <v>3956.82</v>
      </c>
      <c r="V50" s="150">
        <v>0</v>
      </c>
      <c r="W50" s="150">
        <f t="shared" si="43"/>
        <v>0</v>
      </c>
      <c r="X50" s="150">
        <v>0</v>
      </c>
      <c r="Y50" s="150">
        <f t="shared" si="44"/>
        <v>0</v>
      </c>
      <c r="Z50" s="150">
        <v>0</v>
      </c>
      <c r="AA50" s="150">
        <f t="shared" si="45"/>
        <v>0</v>
      </c>
      <c r="AB50" s="150">
        <v>3814</v>
      </c>
      <c r="AC50" s="150">
        <f t="shared" si="46"/>
        <v>3814</v>
      </c>
      <c r="AD50" s="150">
        <v>0</v>
      </c>
      <c r="AE50" s="150">
        <f t="shared" si="47"/>
        <v>0</v>
      </c>
    </row>
    <row r="51" spans="1:31" ht="13.2" x14ac:dyDescent="0.25">
      <c r="A51" s="66" t="s">
        <v>49</v>
      </c>
      <c r="B51" s="97" t="s">
        <v>0</v>
      </c>
      <c r="C51" s="129">
        <v>1</v>
      </c>
      <c r="D51" s="502">
        <v>100</v>
      </c>
      <c r="E51" s="406"/>
      <c r="F51" s="226">
        <f t="shared" si="48"/>
        <v>100</v>
      </c>
      <c r="G51" s="201">
        <v>0</v>
      </c>
      <c r="H51" s="150"/>
      <c r="I51" s="150">
        <f t="shared" si="36"/>
        <v>0</v>
      </c>
      <c r="J51" s="150">
        <v>0</v>
      </c>
      <c r="K51" s="150">
        <f t="shared" si="37"/>
        <v>0</v>
      </c>
      <c r="L51" s="150">
        <v>0</v>
      </c>
      <c r="M51" s="150">
        <f t="shared" si="38"/>
        <v>0</v>
      </c>
      <c r="N51" s="151">
        <v>0</v>
      </c>
      <c r="O51" s="150">
        <f t="shared" si="39"/>
        <v>0</v>
      </c>
      <c r="P51" s="152">
        <v>150</v>
      </c>
      <c r="Q51" s="150">
        <f t="shared" si="40"/>
        <v>150</v>
      </c>
      <c r="R51" s="150">
        <v>0</v>
      </c>
      <c r="S51" s="150">
        <f t="shared" si="41"/>
        <v>0</v>
      </c>
      <c r="T51" s="150">
        <v>100</v>
      </c>
      <c r="U51" s="150">
        <f t="shared" si="42"/>
        <v>100</v>
      </c>
      <c r="V51" s="150">
        <v>0</v>
      </c>
      <c r="W51" s="150">
        <f t="shared" si="43"/>
        <v>0</v>
      </c>
      <c r="X51" s="150">
        <v>0</v>
      </c>
      <c r="Y51" s="150">
        <f t="shared" si="44"/>
        <v>0</v>
      </c>
      <c r="Z51" s="150">
        <v>0</v>
      </c>
      <c r="AA51" s="150">
        <f t="shared" si="45"/>
        <v>0</v>
      </c>
      <c r="AB51" s="150">
        <v>180</v>
      </c>
      <c r="AC51" s="150">
        <f t="shared" si="46"/>
        <v>180</v>
      </c>
      <c r="AD51" s="150">
        <v>0</v>
      </c>
      <c r="AE51" s="150">
        <f t="shared" si="47"/>
        <v>0</v>
      </c>
    </row>
    <row r="52" spans="1:31" ht="13.2" x14ac:dyDescent="0.25">
      <c r="A52" s="66" t="s">
        <v>52</v>
      </c>
      <c r="B52" s="98" t="s">
        <v>0</v>
      </c>
      <c r="C52" s="187">
        <v>1</v>
      </c>
      <c r="D52" s="503">
        <v>250</v>
      </c>
      <c r="E52" s="504"/>
      <c r="F52" s="226">
        <f t="shared" si="48"/>
        <v>250</v>
      </c>
      <c r="G52" s="201">
        <v>0</v>
      </c>
      <c r="H52" s="150"/>
      <c r="I52" s="150">
        <f t="shared" si="36"/>
        <v>0</v>
      </c>
      <c r="J52" s="150">
        <v>0</v>
      </c>
      <c r="K52" s="150">
        <f t="shared" si="37"/>
        <v>0</v>
      </c>
      <c r="L52" s="150">
        <v>0</v>
      </c>
      <c r="M52" s="150">
        <f t="shared" si="38"/>
        <v>0</v>
      </c>
      <c r="N52" s="151">
        <v>0</v>
      </c>
      <c r="O52" s="150">
        <f t="shared" si="39"/>
        <v>0</v>
      </c>
      <c r="P52" s="152">
        <v>250</v>
      </c>
      <c r="Q52" s="150">
        <f t="shared" si="40"/>
        <v>250</v>
      </c>
      <c r="R52" s="150">
        <v>0</v>
      </c>
      <c r="S52" s="150">
        <f t="shared" si="41"/>
        <v>0</v>
      </c>
      <c r="T52" s="150">
        <v>0</v>
      </c>
      <c r="U52" s="150">
        <f t="shared" si="42"/>
        <v>0</v>
      </c>
      <c r="V52" s="150">
        <v>0</v>
      </c>
      <c r="W52" s="150">
        <f t="shared" si="43"/>
        <v>0</v>
      </c>
      <c r="X52" s="150">
        <v>0</v>
      </c>
      <c r="Y52" s="150">
        <f t="shared" si="44"/>
        <v>0</v>
      </c>
      <c r="Z52" s="150">
        <v>0</v>
      </c>
      <c r="AA52" s="150">
        <f t="shared" si="45"/>
        <v>0</v>
      </c>
      <c r="AB52" s="150">
        <v>0</v>
      </c>
      <c r="AC52" s="150">
        <f t="shared" si="46"/>
        <v>0</v>
      </c>
      <c r="AD52" s="150">
        <v>0</v>
      </c>
      <c r="AE52" s="150">
        <f t="shared" si="47"/>
        <v>0</v>
      </c>
    </row>
    <row r="53" spans="1:31" ht="13.2" x14ac:dyDescent="0.25">
      <c r="A53" s="67" t="s">
        <v>44</v>
      </c>
      <c r="B53" s="98" t="s">
        <v>4</v>
      </c>
      <c r="C53" s="187">
        <v>122.4</v>
      </c>
      <c r="D53" s="505">
        <v>35</v>
      </c>
      <c r="E53" s="506"/>
      <c r="F53" s="226">
        <f t="shared" si="48"/>
        <v>4284</v>
      </c>
      <c r="G53" s="201">
        <v>0</v>
      </c>
      <c r="H53" s="150"/>
      <c r="I53" s="150">
        <f t="shared" si="36"/>
        <v>0</v>
      </c>
      <c r="J53" s="150">
        <v>0</v>
      </c>
      <c r="K53" s="150">
        <f t="shared" si="37"/>
        <v>0</v>
      </c>
      <c r="L53" s="150">
        <v>0</v>
      </c>
      <c r="M53" s="150">
        <f t="shared" si="38"/>
        <v>0</v>
      </c>
      <c r="N53" s="151">
        <v>0</v>
      </c>
      <c r="O53" s="150">
        <f t="shared" si="39"/>
        <v>0</v>
      </c>
      <c r="P53" s="152">
        <v>35</v>
      </c>
      <c r="Q53" s="150">
        <f t="shared" si="40"/>
        <v>4284</v>
      </c>
      <c r="R53" s="150">
        <v>0</v>
      </c>
      <c r="S53" s="150">
        <f t="shared" si="41"/>
        <v>0</v>
      </c>
      <c r="T53" s="150">
        <v>0</v>
      </c>
      <c r="U53" s="150">
        <f t="shared" si="42"/>
        <v>0</v>
      </c>
      <c r="V53" s="150">
        <v>0</v>
      </c>
      <c r="W53" s="150">
        <f t="shared" si="43"/>
        <v>0</v>
      </c>
      <c r="X53" s="150">
        <v>0</v>
      </c>
      <c r="Y53" s="150">
        <f t="shared" si="44"/>
        <v>0</v>
      </c>
      <c r="Z53" s="150">
        <v>0</v>
      </c>
      <c r="AA53" s="150">
        <f t="shared" si="45"/>
        <v>0</v>
      </c>
      <c r="AB53" s="150">
        <v>0</v>
      </c>
      <c r="AC53" s="150">
        <f t="shared" si="46"/>
        <v>0</v>
      </c>
      <c r="AD53" s="150">
        <v>0</v>
      </c>
      <c r="AE53" s="150">
        <f t="shared" si="47"/>
        <v>0</v>
      </c>
    </row>
    <row r="54" spans="1:31" ht="13.2" x14ac:dyDescent="0.25">
      <c r="A54" s="6"/>
      <c r="C54" s="7"/>
      <c r="D54" s="6"/>
      <c r="F54" s="227">
        <f>SUM(F47:F53)</f>
        <v>24543.3</v>
      </c>
      <c r="I54" s="112">
        <f>SUM(I47:I53)</f>
        <v>0</v>
      </c>
      <c r="J54" s="111"/>
      <c r="K54" s="112">
        <f t="shared" si="37"/>
        <v>0</v>
      </c>
      <c r="L54" s="111"/>
      <c r="M54" s="112">
        <f>L54*E54</f>
        <v>0</v>
      </c>
      <c r="N54" s="124"/>
      <c r="O54" s="112">
        <f t="shared" si="39"/>
        <v>0</v>
      </c>
      <c r="P54" s="125"/>
      <c r="Q54" s="112">
        <f>SUM(Q47:Q53)</f>
        <v>5784</v>
      </c>
      <c r="R54" s="111"/>
      <c r="S54" s="112">
        <f t="shared" si="41"/>
        <v>0</v>
      </c>
      <c r="T54" s="111"/>
      <c r="U54" s="112">
        <f>SUM(U47:U53)</f>
        <v>22537.870000000003</v>
      </c>
      <c r="V54" s="111"/>
      <c r="W54" s="112">
        <f t="shared" si="43"/>
        <v>0</v>
      </c>
      <c r="X54" s="111"/>
      <c r="Y54" s="112">
        <f t="shared" si="44"/>
        <v>0</v>
      </c>
      <c r="Z54" s="111"/>
      <c r="AA54" s="112">
        <f t="shared" si="45"/>
        <v>0</v>
      </c>
      <c r="AB54" s="111"/>
      <c r="AC54" s="112">
        <f>SUM((AC47:AC53))</f>
        <v>20089.3</v>
      </c>
      <c r="AD54" s="111"/>
      <c r="AE54" s="112">
        <f t="shared" si="47"/>
        <v>0</v>
      </c>
    </row>
    <row r="55" spans="1:31" ht="13.2" x14ac:dyDescent="0.25">
      <c r="A55" s="68" t="s">
        <v>56</v>
      </c>
      <c r="B55" s="99" t="s">
        <v>0</v>
      </c>
      <c r="C55" s="188" t="s">
        <v>1</v>
      </c>
      <c r="D55" s="31" t="s">
        <v>2</v>
      </c>
      <c r="E55" s="32" t="s">
        <v>3</v>
      </c>
      <c r="F55" s="228" t="s">
        <v>7</v>
      </c>
      <c r="I55" s="112"/>
      <c r="J55" s="111"/>
      <c r="K55" s="112"/>
      <c r="L55" s="111"/>
      <c r="M55" s="112"/>
      <c r="N55" s="124"/>
      <c r="O55" s="112"/>
      <c r="P55" s="125"/>
      <c r="Q55" s="112"/>
      <c r="R55" s="111"/>
      <c r="S55" s="112"/>
      <c r="T55" s="111"/>
      <c r="U55" s="112"/>
      <c r="V55" s="111"/>
      <c r="W55" s="112"/>
      <c r="X55" s="111"/>
      <c r="Y55" s="112"/>
      <c r="Z55" s="111"/>
      <c r="AA55" s="112"/>
      <c r="AB55" s="111"/>
      <c r="AC55" s="112"/>
      <c r="AD55" s="111"/>
      <c r="AE55" s="112"/>
    </row>
    <row r="56" spans="1:31" ht="13.2" x14ac:dyDescent="0.25">
      <c r="A56" s="69" t="s">
        <v>50</v>
      </c>
      <c r="B56" s="100" t="s">
        <v>0</v>
      </c>
      <c r="C56" s="189">
        <v>1</v>
      </c>
      <c r="D56" s="131">
        <v>250</v>
      </c>
      <c r="E56" s="33">
        <v>200</v>
      </c>
      <c r="F56" s="229">
        <f>C56*(D56+E56)</f>
        <v>450</v>
      </c>
      <c r="G56" s="202">
        <f>250/C56</f>
        <v>250</v>
      </c>
      <c r="H56" s="154">
        <f>200/C56</f>
        <v>200</v>
      </c>
      <c r="I56" s="154">
        <f>C56*(G56+H56)</f>
        <v>450</v>
      </c>
      <c r="J56" s="154">
        <v>0</v>
      </c>
      <c r="K56" s="154">
        <f>J56*C56</f>
        <v>0</v>
      </c>
      <c r="L56" s="154">
        <v>0</v>
      </c>
      <c r="M56" s="154">
        <f>L56*E56</f>
        <v>0</v>
      </c>
      <c r="N56" s="155">
        <v>0</v>
      </c>
      <c r="O56" s="154">
        <f>N56*J56</f>
        <v>0</v>
      </c>
      <c r="P56" s="156">
        <v>120</v>
      </c>
      <c r="Q56" s="154">
        <f>P56*C56</f>
        <v>120</v>
      </c>
      <c r="R56" s="154">
        <v>0</v>
      </c>
      <c r="S56" s="154">
        <f>R56*N56</f>
        <v>0</v>
      </c>
      <c r="T56" s="154">
        <v>0</v>
      </c>
      <c r="U56" s="154">
        <f>T56*P56</f>
        <v>0</v>
      </c>
      <c r="V56" s="154">
        <v>0</v>
      </c>
      <c r="W56" s="154">
        <f>V56*R56</f>
        <v>0</v>
      </c>
      <c r="X56" s="154">
        <v>0</v>
      </c>
      <c r="Y56" s="154">
        <f>X56*T56</f>
        <v>0</v>
      </c>
      <c r="Z56" s="154">
        <v>0</v>
      </c>
      <c r="AA56" s="154">
        <f>Z56*V56</f>
        <v>0</v>
      </c>
      <c r="AB56" s="154">
        <v>0</v>
      </c>
      <c r="AC56" s="154">
        <f>AB56*X56</f>
        <v>0</v>
      </c>
      <c r="AD56" s="154">
        <f>125+50</f>
        <v>175</v>
      </c>
      <c r="AE56" s="154">
        <f>AD56*C56</f>
        <v>175</v>
      </c>
    </row>
    <row r="57" spans="1:31" ht="13.2" x14ac:dyDescent="0.25">
      <c r="A57" s="70" t="s">
        <v>28</v>
      </c>
      <c r="B57" s="100" t="s">
        <v>0</v>
      </c>
      <c r="C57" s="189">
        <v>2</v>
      </c>
      <c r="D57" s="131">
        <v>100</v>
      </c>
      <c r="E57" s="33">
        <v>300</v>
      </c>
      <c r="F57" s="229">
        <f>C57*(D57+E57)</f>
        <v>800</v>
      </c>
      <c r="G57" s="202">
        <f>200/C57</f>
        <v>100</v>
      </c>
      <c r="H57" s="154">
        <f>600/C57</f>
        <v>300</v>
      </c>
      <c r="I57" s="154">
        <f>C57*(G57+H57)</f>
        <v>800</v>
      </c>
      <c r="J57" s="154">
        <v>0</v>
      </c>
      <c r="K57" s="154">
        <f>J57*C57</f>
        <v>0</v>
      </c>
      <c r="L57" s="154">
        <v>0</v>
      </c>
      <c r="M57" s="154">
        <f>L57*E57</f>
        <v>0</v>
      </c>
      <c r="N57" s="155">
        <v>0</v>
      </c>
      <c r="O57" s="154">
        <f>N57*J57</f>
        <v>0</v>
      </c>
      <c r="P57" s="156">
        <v>120</v>
      </c>
      <c r="Q57" s="154">
        <f>P57*C57</f>
        <v>240</v>
      </c>
      <c r="R57" s="154">
        <v>0</v>
      </c>
      <c r="S57" s="154">
        <f>R57*N57</f>
        <v>0</v>
      </c>
      <c r="T57" s="154">
        <v>0</v>
      </c>
      <c r="U57" s="154">
        <f>T57*P57</f>
        <v>0</v>
      </c>
      <c r="V57" s="154">
        <v>0</v>
      </c>
      <c r="W57" s="154">
        <f>V57*R57</f>
        <v>0</v>
      </c>
      <c r="X57" s="154">
        <v>0</v>
      </c>
      <c r="Y57" s="154">
        <f>X57*T57</f>
        <v>0</v>
      </c>
      <c r="Z57" s="154">
        <v>0</v>
      </c>
      <c r="AA57" s="154">
        <f>Z57*V57</f>
        <v>0</v>
      </c>
      <c r="AB57" s="154">
        <v>0</v>
      </c>
      <c r="AC57" s="154">
        <f>AB57*X57</f>
        <v>0</v>
      </c>
      <c r="AD57" s="154">
        <v>0</v>
      </c>
      <c r="AE57" s="154">
        <f>AD57*Z57</f>
        <v>0</v>
      </c>
    </row>
    <row r="58" spans="1:31" ht="13.2" x14ac:dyDescent="0.25">
      <c r="A58" s="70" t="s">
        <v>43</v>
      </c>
      <c r="B58" s="100" t="s">
        <v>0</v>
      </c>
      <c r="C58" s="189">
        <v>2</v>
      </c>
      <c r="D58" s="131">
        <v>600</v>
      </c>
      <c r="E58" s="33">
        <v>300</v>
      </c>
      <c r="F58" s="229">
        <f>2*C58*E58</f>
        <v>1200</v>
      </c>
      <c r="G58" s="202">
        <f>1200/C58</f>
        <v>600</v>
      </c>
      <c r="H58" s="154">
        <f>600/C58</f>
        <v>300</v>
      </c>
      <c r="I58" s="154">
        <f>C58*(G58+H58)</f>
        <v>1800</v>
      </c>
      <c r="J58" s="154">
        <v>0</v>
      </c>
      <c r="K58" s="154">
        <f>J58*C58</f>
        <v>0</v>
      </c>
      <c r="L58" s="154">
        <v>0</v>
      </c>
      <c r="M58" s="154">
        <f>L58*E58</f>
        <v>0</v>
      </c>
      <c r="N58" s="155">
        <v>0</v>
      </c>
      <c r="O58" s="154">
        <f>N58*J58</f>
        <v>0</v>
      </c>
      <c r="P58" s="156">
        <v>200</v>
      </c>
      <c r="Q58" s="154">
        <f>P58*C58</f>
        <v>400</v>
      </c>
      <c r="R58" s="154">
        <v>0</v>
      </c>
      <c r="S58" s="154">
        <f>R58*N58</f>
        <v>0</v>
      </c>
      <c r="T58" s="154">
        <v>0</v>
      </c>
      <c r="U58" s="154">
        <f>T58*P58</f>
        <v>0</v>
      </c>
      <c r="V58" s="154">
        <v>0</v>
      </c>
      <c r="W58" s="154">
        <f>V58*R58</f>
        <v>0</v>
      </c>
      <c r="X58" s="154">
        <v>0</v>
      </c>
      <c r="Y58" s="154">
        <f>X58*T58</f>
        <v>0</v>
      </c>
      <c r="Z58" s="154">
        <v>0</v>
      </c>
      <c r="AA58" s="154">
        <f>Z58*V58</f>
        <v>0</v>
      </c>
      <c r="AB58" s="154">
        <v>0</v>
      </c>
      <c r="AC58" s="154">
        <f>AB58*X58</f>
        <v>0</v>
      </c>
      <c r="AD58" s="154">
        <v>290</v>
      </c>
      <c r="AE58" s="154">
        <f>2*C58*AD58</f>
        <v>1160</v>
      </c>
    </row>
    <row r="59" spans="1:31" ht="13.2" x14ac:dyDescent="0.25">
      <c r="A59" s="70" t="s">
        <v>32</v>
      </c>
      <c r="B59" s="100" t="s">
        <v>0</v>
      </c>
      <c r="C59" s="189">
        <v>1</v>
      </c>
      <c r="D59" s="131">
        <v>0</v>
      </c>
      <c r="E59" s="33">
        <v>300</v>
      </c>
      <c r="F59" s="230">
        <f>C59*(D59+E59)</f>
        <v>300</v>
      </c>
      <c r="G59" s="202"/>
      <c r="H59" s="154">
        <f>300/C59</f>
        <v>300</v>
      </c>
      <c r="I59" s="154">
        <f>C59*(G59+H59)</f>
        <v>300</v>
      </c>
      <c r="J59" s="154">
        <v>0</v>
      </c>
      <c r="K59" s="154">
        <f>J59*C59</f>
        <v>0</v>
      </c>
      <c r="L59" s="154">
        <v>0</v>
      </c>
      <c r="M59" s="154">
        <f>L59*E59</f>
        <v>0</v>
      </c>
      <c r="N59" s="155">
        <v>0</v>
      </c>
      <c r="O59" s="154">
        <f>N59*J59</f>
        <v>0</v>
      </c>
      <c r="P59" s="156">
        <v>65</v>
      </c>
      <c r="Q59" s="154">
        <f>P59*C59</f>
        <v>65</v>
      </c>
      <c r="R59" s="154">
        <v>0</v>
      </c>
      <c r="S59" s="154">
        <f>R59*N59</f>
        <v>0</v>
      </c>
      <c r="T59" s="154">
        <v>0</v>
      </c>
      <c r="U59" s="154">
        <f>T59*P59</f>
        <v>0</v>
      </c>
      <c r="V59" s="154">
        <v>0</v>
      </c>
      <c r="W59" s="154">
        <f>V59*R59</f>
        <v>0</v>
      </c>
      <c r="X59" s="154">
        <v>0</v>
      </c>
      <c r="Y59" s="154">
        <f>X59*T59</f>
        <v>0</v>
      </c>
      <c r="Z59" s="154">
        <v>0</v>
      </c>
      <c r="AA59" s="154">
        <f>Z59*V59</f>
        <v>0</v>
      </c>
      <c r="AB59" s="154">
        <v>0</v>
      </c>
      <c r="AC59" s="154">
        <f>AB59*X59</f>
        <v>0</v>
      </c>
      <c r="AD59" s="154">
        <v>0</v>
      </c>
      <c r="AE59" s="154">
        <f>AD59*Z59</f>
        <v>0</v>
      </c>
    </row>
    <row r="60" spans="1:31" ht="13.2" x14ac:dyDescent="0.25">
      <c r="A60" s="6"/>
      <c r="C60" s="7"/>
      <c r="D60" s="6"/>
      <c r="F60" s="231">
        <f>SUM(F56:F59)</f>
        <v>2750</v>
      </c>
      <c r="I60" s="112">
        <f>SUM(I56:I59)</f>
        <v>3350</v>
      </c>
      <c r="J60" s="111"/>
      <c r="K60" s="112">
        <f>J60*C60</f>
        <v>0</v>
      </c>
      <c r="L60" s="111"/>
      <c r="M60" s="112">
        <f>L60*E60</f>
        <v>0</v>
      </c>
      <c r="N60" s="124"/>
      <c r="O60" s="112">
        <f>N60*J60</f>
        <v>0</v>
      </c>
      <c r="P60" s="125"/>
      <c r="Q60" s="112">
        <f>SUM(Q56:Q59)</f>
        <v>825</v>
      </c>
      <c r="R60" s="111"/>
      <c r="S60" s="112">
        <f>R60*N60</f>
        <v>0</v>
      </c>
      <c r="T60" s="111"/>
      <c r="U60" s="112">
        <f>T60*P60</f>
        <v>0</v>
      </c>
      <c r="V60" s="111"/>
      <c r="W60" s="112">
        <f>V60*R60</f>
        <v>0</v>
      </c>
      <c r="X60" s="111"/>
      <c r="Y60" s="112">
        <f>X60*T60</f>
        <v>0</v>
      </c>
      <c r="Z60" s="111"/>
      <c r="AA60" s="112">
        <f>Z60*V60</f>
        <v>0</v>
      </c>
      <c r="AB60" s="111"/>
      <c r="AC60" s="112">
        <f>AB60*X60</f>
        <v>0</v>
      </c>
      <c r="AD60" s="111"/>
      <c r="AE60" s="112">
        <f>SUM(AE56:AE59)</f>
        <v>1335</v>
      </c>
    </row>
    <row r="61" spans="1:31" ht="13.2" x14ac:dyDescent="0.25">
      <c r="A61" s="71" t="s">
        <v>57</v>
      </c>
      <c r="B61" s="101" t="s">
        <v>0</v>
      </c>
      <c r="C61" s="190" t="s">
        <v>1</v>
      </c>
      <c r="D61" s="34" t="s">
        <v>2</v>
      </c>
      <c r="E61" s="35" t="s">
        <v>3</v>
      </c>
      <c r="F61" s="232" t="s">
        <v>7</v>
      </c>
      <c r="I61" s="112"/>
      <c r="J61" s="111"/>
      <c r="K61" s="112"/>
      <c r="L61" s="111"/>
      <c r="M61" s="112"/>
      <c r="N61" s="124"/>
      <c r="O61" s="112"/>
      <c r="P61" s="125"/>
      <c r="Q61" s="112"/>
      <c r="R61" s="111"/>
      <c r="S61" s="112"/>
      <c r="T61" s="111"/>
      <c r="U61" s="112"/>
      <c r="V61" s="111"/>
      <c r="W61" s="112"/>
      <c r="X61" s="111"/>
      <c r="Y61" s="112"/>
      <c r="Z61" s="111"/>
      <c r="AA61" s="112"/>
      <c r="AB61" s="111"/>
      <c r="AC61" s="112"/>
      <c r="AD61" s="111"/>
      <c r="AE61" s="112"/>
    </row>
    <row r="62" spans="1:31" ht="13.2" x14ac:dyDescent="0.25">
      <c r="A62" s="72" t="s">
        <v>29</v>
      </c>
      <c r="B62" s="102" t="s">
        <v>0</v>
      </c>
      <c r="C62" s="191">
        <v>2</v>
      </c>
      <c r="D62" s="36">
        <v>350</v>
      </c>
      <c r="E62" s="37">
        <v>750</v>
      </c>
      <c r="F62" s="233">
        <f>C62*(D62+E62)</f>
        <v>2200</v>
      </c>
      <c r="G62" s="203">
        <f>700/C62</f>
        <v>350</v>
      </c>
      <c r="H62" s="163">
        <f>1500/C62</f>
        <v>750</v>
      </c>
      <c r="I62" s="163">
        <f>C62*(G62+H62)</f>
        <v>2200</v>
      </c>
      <c r="J62" s="163">
        <v>0</v>
      </c>
      <c r="K62" s="163">
        <f>J62*C62</f>
        <v>0</v>
      </c>
      <c r="L62" s="163">
        <v>0</v>
      </c>
      <c r="M62" s="163">
        <f>L62*E62</f>
        <v>0</v>
      </c>
      <c r="N62" s="164">
        <v>0</v>
      </c>
      <c r="O62" s="163">
        <f>N62*J62</f>
        <v>0</v>
      </c>
      <c r="P62" s="165">
        <v>100</v>
      </c>
      <c r="Q62" s="163">
        <f>P62*C62</f>
        <v>200</v>
      </c>
      <c r="R62" s="163">
        <v>0</v>
      </c>
      <c r="S62" s="163">
        <f>R62*N62</f>
        <v>0</v>
      </c>
      <c r="T62" s="163">
        <v>0</v>
      </c>
      <c r="U62" s="163">
        <f>T62*P62</f>
        <v>0</v>
      </c>
      <c r="V62" s="163">
        <v>0</v>
      </c>
      <c r="W62" s="163">
        <f>V62*R62</f>
        <v>0</v>
      </c>
      <c r="X62" s="163">
        <v>0</v>
      </c>
      <c r="Y62" s="163">
        <f>X62*T62</f>
        <v>0</v>
      </c>
      <c r="Z62" s="163">
        <v>0</v>
      </c>
      <c r="AA62" s="163">
        <f>Z62*V62</f>
        <v>0</v>
      </c>
      <c r="AB62" s="163">
        <v>0</v>
      </c>
      <c r="AC62" s="163">
        <f>AB62*X62</f>
        <v>0</v>
      </c>
      <c r="AD62" s="163">
        <v>0</v>
      </c>
      <c r="AE62" s="163">
        <f>AD62*Z62</f>
        <v>0</v>
      </c>
    </row>
    <row r="63" spans="1:31" ht="13.2" x14ac:dyDescent="0.25">
      <c r="A63" s="64"/>
      <c r="B63" s="95"/>
      <c r="C63" s="185"/>
      <c r="D63" s="29"/>
      <c r="E63" s="38"/>
      <c r="F63" s="234">
        <f>F62</f>
        <v>2200</v>
      </c>
      <c r="I63" s="112">
        <f>I62</f>
        <v>2200</v>
      </c>
      <c r="J63" s="111"/>
      <c r="K63" s="112">
        <f>J63*C63</f>
        <v>0</v>
      </c>
      <c r="L63" s="111"/>
      <c r="M63" s="112">
        <f>L63*E63</f>
        <v>0</v>
      </c>
      <c r="N63" s="124"/>
      <c r="O63" s="112">
        <f>N63*J63</f>
        <v>0</v>
      </c>
      <c r="P63" s="125"/>
      <c r="Q63" s="112">
        <f>SUM(Q62)</f>
        <v>200</v>
      </c>
      <c r="R63" s="111"/>
      <c r="S63" s="112">
        <f>R63*N63</f>
        <v>0</v>
      </c>
      <c r="T63" s="111"/>
      <c r="U63" s="112">
        <f>T63*P63</f>
        <v>0</v>
      </c>
      <c r="V63" s="111"/>
      <c r="W63" s="112">
        <f>V63*R63</f>
        <v>0</v>
      </c>
      <c r="X63" s="111"/>
      <c r="Y63" s="112">
        <f>X63*T63</f>
        <v>0</v>
      </c>
      <c r="Z63" s="111"/>
      <c r="AA63" s="112">
        <f>Z63*V63</f>
        <v>0</v>
      </c>
      <c r="AB63" s="111"/>
      <c r="AC63" s="112">
        <f>AB63*X63</f>
        <v>0</v>
      </c>
      <c r="AD63" s="111"/>
      <c r="AE63" s="112">
        <f>AD63*Z63</f>
        <v>0</v>
      </c>
    </row>
    <row r="64" spans="1:31" ht="13.2" x14ac:dyDescent="0.25">
      <c r="A64" s="73" t="s">
        <v>41</v>
      </c>
      <c r="B64" s="103" t="s">
        <v>0</v>
      </c>
      <c r="C64" s="192" t="s">
        <v>1</v>
      </c>
      <c r="D64" s="39" t="s">
        <v>2</v>
      </c>
      <c r="E64" s="40" t="s">
        <v>3</v>
      </c>
      <c r="F64" s="235" t="s">
        <v>7</v>
      </c>
      <c r="G64" s="204"/>
      <c r="H64" s="157"/>
      <c r="I64" s="157"/>
      <c r="J64" s="157"/>
      <c r="K64" s="157"/>
      <c r="L64" s="157"/>
      <c r="M64" s="157"/>
      <c r="N64" s="158"/>
      <c r="O64" s="157"/>
      <c r="P64" s="159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</row>
    <row r="65" spans="1:31" ht="13.2" x14ac:dyDescent="0.25">
      <c r="A65" s="74" t="s">
        <v>60</v>
      </c>
      <c r="B65" s="104" t="s">
        <v>4</v>
      </c>
      <c r="C65" s="193">
        <v>220</v>
      </c>
      <c r="D65" s="41">
        <v>3.18</v>
      </c>
      <c r="E65" s="42">
        <v>14.55</v>
      </c>
      <c r="F65" s="236">
        <f>C65*(D65+E65)</f>
        <v>3900.6</v>
      </c>
      <c r="G65" s="205">
        <f>700/C65</f>
        <v>3.1818181818181817</v>
      </c>
      <c r="H65" s="160">
        <f>3200/C65</f>
        <v>14.545454545454545</v>
      </c>
      <c r="I65" s="160">
        <f>C65*(G65+H65)</f>
        <v>3900</v>
      </c>
      <c r="J65" s="160">
        <v>40</v>
      </c>
      <c r="K65" s="160">
        <f>J65*C65</f>
        <v>8800</v>
      </c>
      <c r="L65" s="160">
        <v>0</v>
      </c>
      <c r="M65" s="160">
        <f>L65*E65</f>
        <v>0</v>
      </c>
      <c r="N65" s="161">
        <v>40</v>
      </c>
      <c r="O65" s="160">
        <f>N65*J65</f>
        <v>1600</v>
      </c>
      <c r="P65" s="162">
        <v>25</v>
      </c>
      <c r="Q65" s="160">
        <f>P65*C65</f>
        <v>5500</v>
      </c>
      <c r="R65" s="160">
        <v>0</v>
      </c>
      <c r="S65" s="160">
        <f>R65*N65</f>
        <v>0</v>
      </c>
      <c r="T65" s="160">
        <v>0</v>
      </c>
      <c r="U65" s="160">
        <f>T65*P65</f>
        <v>0</v>
      </c>
      <c r="V65" s="160">
        <v>0</v>
      </c>
      <c r="W65" s="160">
        <f>V65*R65</f>
        <v>0</v>
      </c>
      <c r="X65" s="160">
        <v>0</v>
      </c>
      <c r="Y65" s="160">
        <f>X65*T65</f>
        <v>0</v>
      </c>
      <c r="Z65" s="160">
        <v>0</v>
      </c>
      <c r="AA65" s="160">
        <f>Z65*V65</f>
        <v>0</v>
      </c>
      <c r="AB65" s="160">
        <v>0</v>
      </c>
      <c r="AC65" s="160">
        <f>AB65*X65</f>
        <v>0</v>
      </c>
      <c r="AD65" s="160">
        <v>0</v>
      </c>
      <c r="AE65" s="160">
        <f>AD65*Z65</f>
        <v>0</v>
      </c>
    </row>
    <row r="66" spans="1:31" ht="13.2" x14ac:dyDescent="0.25">
      <c r="A66" s="75" t="s">
        <v>10</v>
      </c>
      <c r="B66" s="104" t="s">
        <v>4</v>
      </c>
      <c r="C66" s="193">
        <v>252</v>
      </c>
      <c r="D66" s="41">
        <v>4.76</v>
      </c>
      <c r="E66" s="42">
        <v>11.11</v>
      </c>
      <c r="F66" s="236">
        <f>C66*(D66+E66)</f>
        <v>3999.24</v>
      </c>
      <c r="G66" s="205">
        <f>1200/C66</f>
        <v>4.7619047619047619</v>
      </c>
      <c r="H66" s="160">
        <f>2800/C66</f>
        <v>11.111111111111111</v>
      </c>
      <c r="I66" s="160">
        <f>C66*(G66+H66)</f>
        <v>4000</v>
      </c>
      <c r="J66" s="160">
        <v>40</v>
      </c>
      <c r="K66" s="160">
        <f>J66*C66</f>
        <v>10080</v>
      </c>
      <c r="L66" s="160">
        <v>0</v>
      </c>
      <c r="M66" s="160">
        <f>L66*E66</f>
        <v>0</v>
      </c>
      <c r="N66" s="161">
        <v>40</v>
      </c>
      <c r="O66" s="160">
        <f>N66*J66</f>
        <v>1600</v>
      </c>
      <c r="P66" s="162">
        <v>50</v>
      </c>
      <c r="Q66" s="160">
        <f>P66*C66</f>
        <v>12600</v>
      </c>
      <c r="R66" s="160">
        <v>0</v>
      </c>
      <c r="S66" s="160">
        <f>R66*N66</f>
        <v>0</v>
      </c>
      <c r="T66" s="160">
        <v>0</v>
      </c>
      <c r="U66" s="160">
        <f>T66*P66</f>
        <v>0</v>
      </c>
      <c r="V66" s="160">
        <v>0</v>
      </c>
      <c r="W66" s="160">
        <f>V66*R66</f>
        <v>0</v>
      </c>
      <c r="X66" s="160">
        <v>0</v>
      </c>
      <c r="Y66" s="160">
        <f>X66*T66</f>
        <v>0</v>
      </c>
      <c r="Z66" s="160">
        <v>0</v>
      </c>
      <c r="AA66" s="160">
        <f>Z66*V66</f>
        <v>0</v>
      </c>
      <c r="AB66" s="160">
        <v>0</v>
      </c>
      <c r="AC66" s="160">
        <f>AB66*X66</f>
        <v>0</v>
      </c>
      <c r="AD66" s="160">
        <v>0</v>
      </c>
      <c r="AE66" s="160">
        <f>AD66*Z66</f>
        <v>0</v>
      </c>
    </row>
    <row r="67" spans="1:31" ht="13.2" x14ac:dyDescent="0.25">
      <c r="A67" s="75" t="s">
        <v>54</v>
      </c>
      <c r="B67" s="104" t="s">
        <v>4</v>
      </c>
      <c r="C67" s="193">
        <f>30.95+39.1+25.68+25.68+140+25.68+90.67</f>
        <v>377.76</v>
      </c>
      <c r="D67" s="41">
        <v>3.18</v>
      </c>
      <c r="E67" s="42">
        <v>8.4700000000000006</v>
      </c>
      <c r="F67" s="236">
        <f>C67*(D67+E67)</f>
        <v>4400.9040000000005</v>
      </c>
      <c r="G67" s="205">
        <f>1200/C67</f>
        <v>3.1766200762388821</v>
      </c>
      <c r="H67" s="160">
        <f>3200/C67</f>
        <v>8.4709868699703517</v>
      </c>
      <c r="I67" s="160">
        <f>C67*(G67+H67)</f>
        <v>4400</v>
      </c>
      <c r="J67" s="160">
        <v>40</v>
      </c>
      <c r="K67" s="160">
        <f>J67*C67</f>
        <v>15110.4</v>
      </c>
      <c r="L67" s="160">
        <v>0</v>
      </c>
      <c r="M67" s="160">
        <f>L67*E67</f>
        <v>0</v>
      </c>
      <c r="N67" s="161">
        <v>40</v>
      </c>
      <c r="O67" s="160">
        <f>N67*J67</f>
        <v>1600</v>
      </c>
      <c r="P67" s="162">
        <v>25</v>
      </c>
      <c r="Q67" s="160">
        <f>P67*C67</f>
        <v>9444</v>
      </c>
      <c r="R67" s="160">
        <v>0</v>
      </c>
      <c r="S67" s="160">
        <f>R67*N67</f>
        <v>0</v>
      </c>
      <c r="T67" s="160">
        <v>0</v>
      </c>
      <c r="U67" s="160">
        <f>T67*P67</f>
        <v>0</v>
      </c>
      <c r="V67" s="160">
        <v>0</v>
      </c>
      <c r="W67" s="160">
        <f>V67*R67</f>
        <v>0</v>
      </c>
      <c r="X67" s="160">
        <v>0</v>
      </c>
      <c r="Y67" s="160">
        <f>X67*T67</f>
        <v>0</v>
      </c>
      <c r="Z67" s="160">
        <v>0</v>
      </c>
      <c r="AA67" s="160">
        <f>Z67*V67</f>
        <v>0</v>
      </c>
      <c r="AB67" s="160">
        <v>0</v>
      </c>
      <c r="AC67" s="160">
        <f>AB67*X67</f>
        <v>0</v>
      </c>
      <c r="AD67" s="160">
        <v>0</v>
      </c>
      <c r="AE67" s="160">
        <f>AD67*Z67</f>
        <v>0</v>
      </c>
    </row>
    <row r="68" spans="1:31" ht="13.8" thickBot="1" x14ac:dyDescent="0.3">
      <c r="A68" s="6"/>
      <c r="C68" s="7"/>
      <c r="D68" s="6"/>
      <c r="F68" s="237">
        <f>SUM(F65:F67)</f>
        <v>12300.744000000001</v>
      </c>
      <c r="G68" s="109">
        <v>0</v>
      </c>
      <c r="I68" s="112">
        <f>SUM(I65:I67)</f>
        <v>12300</v>
      </c>
      <c r="J68" s="111">
        <v>0</v>
      </c>
      <c r="K68" s="112">
        <f>J68*C68</f>
        <v>0</v>
      </c>
      <c r="L68" s="111">
        <v>0</v>
      </c>
      <c r="M68" s="112">
        <f>L68*E68</f>
        <v>0</v>
      </c>
      <c r="N68" s="124"/>
      <c r="O68" s="112">
        <f>SUM(O65:O67)</f>
        <v>4800</v>
      </c>
      <c r="P68" s="125"/>
      <c r="Q68" s="112">
        <f>SUM(Q65:Q67)</f>
        <v>27544</v>
      </c>
      <c r="R68" s="111">
        <v>0</v>
      </c>
      <c r="S68" s="112">
        <f>R68*N68</f>
        <v>0</v>
      </c>
      <c r="T68" s="111">
        <v>0</v>
      </c>
      <c r="U68" s="112">
        <f>T68*P68</f>
        <v>0</v>
      </c>
      <c r="V68" s="111">
        <v>0</v>
      </c>
      <c r="W68" s="112">
        <f>V68*R68</f>
        <v>0</v>
      </c>
      <c r="X68" s="111">
        <v>0</v>
      </c>
      <c r="Y68" s="112">
        <f>X68*T68</f>
        <v>0</v>
      </c>
      <c r="Z68" s="111">
        <v>0</v>
      </c>
      <c r="AA68" s="112">
        <f>Z68*V68</f>
        <v>0</v>
      </c>
      <c r="AB68" s="111">
        <v>0</v>
      </c>
      <c r="AC68" s="112">
        <f>AB68*X68</f>
        <v>0</v>
      </c>
      <c r="AD68" s="111">
        <v>0</v>
      </c>
      <c r="AE68" s="112">
        <f>AD68*Z68</f>
        <v>0</v>
      </c>
    </row>
    <row r="69" spans="1:31" ht="13.8" thickBot="1" x14ac:dyDescent="0.3">
      <c r="A69" s="76"/>
      <c r="B69" s="105"/>
      <c r="C69" s="194"/>
      <c r="D69" s="507">
        <f>F14+F18+F25+F32+F39+F45+F54+F60+F63+F68</f>
        <v>288638.89887999999</v>
      </c>
      <c r="E69" s="508"/>
      <c r="F69" s="509"/>
      <c r="G69" s="127"/>
      <c r="H69" s="127"/>
      <c r="I69" s="114"/>
      <c r="J69" s="113"/>
      <c r="K69" s="114"/>
      <c r="L69" s="113"/>
      <c r="M69" s="114"/>
      <c r="N69" s="128"/>
      <c r="O69" s="114"/>
      <c r="P69" s="497">
        <f>Q14+Q18+Q25+Q32+Q39+Q45+Q54+Q60+Q63+Q68</f>
        <v>170945.64</v>
      </c>
      <c r="Q69" s="498"/>
      <c r="R69" s="113"/>
      <c r="S69" s="114"/>
      <c r="T69" s="113"/>
      <c r="U69" s="114"/>
      <c r="V69" s="113"/>
      <c r="W69" s="114"/>
      <c r="X69" s="113"/>
      <c r="Y69" s="114"/>
      <c r="Z69" s="113"/>
      <c r="AA69" s="114"/>
      <c r="AB69" s="113"/>
      <c r="AC69" s="114"/>
      <c r="AD69" s="113"/>
      <c r="AE69" s="114"/>
    </row>
    <row r="70" spans="1:31" ht="13.2" x14ac:dyDescent="0.25">
      <c r="B70" s="106"/>
      <c r="C70" s="107"/>
    </row>
    <row r="71" spans="1:31" ht="13.2" x14ac:dyDescent="0.25">
      <c r="B71" s="106"/>
      <c r="C71" s="107"/>
    </row>
    <row r="72" spans="1:31" ht="13.2" x14ac:dyDescent="0.25">
      <c r="B72" s="106"/>
      <c r="C72" s="107"/>
    </row>
    <row r="73" spans="1:31" ht="13.2" x14ac:dyDescent="0.25">
      <c r="B73" s="106"/>
      <c r="C73" s="107"/>
    </row>
    <row r="74" spans="1:31" ht="13.2" x14ac:dyDescent="0.25">
      <c r="B74" s="106"/>
      <c r="C74" s="107"/>
    </row>
    <row r="75" spans="1:31" ht="13.2" x14ac:dyDescent="0.25">
      <c r="B75" s="106"/>
      <c r="C75" s="107"/>
    </row>
    <row r="76" spans="1:31" ht="13.2" x14ac:dyDescent="0.25">
      <c r="B76" s="106"/>
      <c r="C76" s="107"/>
    </row>
    <row r="77" spans="1:31" ht="13.2" x14ac:dyDescent="0.25">
      <c r="B77" s="106"/>
      <c r="C77" s="107"/>
    </row>
    <row r="78" spans="1:31" ht="13.2" x14ac:dyDescent="0.25">
      <c r="B78" s="106"/>
      <c r="C78" s="107"/>
    </row>
    <row r="79" spans="1:31" ht="13.2" x14ac:dyDescent="0.25">
      <c r="B79" s="106"/>
      <c r="C79" s="107"/>
    </row>
    <row r="80" spans="1:31" ht="13.2" x14ac:dyDescent="0.25">
      <c r="B80" s="106"/>
      <c r="C80" s="107"/>
    </row>
    <row r="81" spans="2:3" ht="13.2" x14ac:dyDescent="0.25">
      <c r="B81" s="106"/>
      <c r="C81" s="107"/>
    </row>
    <row r="82" spans="2:3" ht="13.2" x14ac:dyDescent="0.25">
      <c r="B82" s="106"/>
      <c r="C82" s="107"/>
    </row>
    <row r="83" spans="2:3" ht="13.2" x14ac:dyDescent="0.25">
      <c r="B83" s="106"/>
      <c r="C83" s="107"/>
    </row>
    <row r="84" spans="2:3" ht="13.2" x14ac:dyDescent="0.25">
      <c r="B84" s="106"/>
      <c r="C84" s="107"/>
    </row>
    <row r="85" spans="2:3" ht="13.2" x14ac:dyDescent="0.25">
      <c r="B85" s="106"/>
      <c r="C85" s="107"/>
    </row>
    <row r="86" spans="2:3" ht="13.2" x14ac:dyDescent="0.25">
      <c r="B86" s="106"/>
      <c r="C86" s="107"/>
    </row>
    <row r="87" spans="2:3" ht="13.2" x14ac:dyDescent="0.25">
      <c r="B87" s="106"/>
      <c r="C87" s="107"/>
    </row>
    <row r="88" spans="2:3" ht="13.2" x14ac:dyDescent="0.25">
      <c r="B88" s="106"/>
      <c r="C88" s="107"/>
    </row>
    <row r="89" spans="2:3" ht="13.2" x14ac:dyDescent="0.25">
      <c r="B89" s="106"/>
      <c r="C89" s="107"/>
    </row>
    <row r="90" spans="2:3" ht="13.2" x14ac:dyDescent="0.25">
      <c r="B90" s="106"/>
      <c r="C90" s="107"/>
    </row>
    <row r="91" spans="2:3" ht="13.2" x14ac:dyDescent="0.25">
      <c r="B91" s="106"/>
      <c r="C91" s="107"/>
    </row>
    <row r="92" spans="2:3" ht="13.2" x14ac:dyDescent="0.25">
      <c r="B92" s="106"/>
      <c r="C92" s="107"/>
    </row>
    <row r="93" spans="2:3" ht="13.2" x14ac:dyDescent="0.25">
      <c r="B93" s="106"/>
      <c r="C93" s="107"/>
    </row>
    <row r="94" spans="2:3" ht="13.2" x14ac:dyDescent="0.25">
      <c r="B94" s="106"/>
      <c r="C94" s="107"/>
    </row>
    <row r="95" spans="2:3" ht="13.2" x14ac:dyDescent="0.25">
      <c r="B95" s="106"/>
      <c r="C95" s="107"/>
    </row>
    <row r="96" spans="2:3" ht="13.2" x14ac:dyDescent="0.25">
      <c r="B96" s="106"/>
      <c r="C96" s="107"/>
    </row>
    <row r="97" spans="2:3" ht="13.2" x14ac:dyDescent="0.25">
      <c r="B97" s="106"/>
      <c r="C97" s="107"/>
    </row>
    <row r="98" spans="2:3" ht="13.2" x14ac:dyDescent="0.25">
      <c r="B98" s="106"/>
      <c r="C98" s="107"/>
    </row>
    <row r="99" spans="2:3" ht="13.2" x14ac:dyDescent="0.25">
      <c r="B99" s="106"/>
      <c r="C99" s="107"/>
    </row>
    <row r="100" spans="2:3" ht="13.2" x14ac:dyDescent="0.25">
      <c r="B100" s="106"/>
      <c r="C100" s="107"/>
    </row>
    <row r="101" spans="2:3" ht="13.2" x14ac:dyDescent="0.25">
      <c r="B101" s="106"/>
      <c r="C101" s="107"/>
    </row>
    <row r="102" spans="2:3" ht="13.2" x14ac:dyDescent="0.25">
      <c r="B102" s="106"/>
      <c r="C102" s="107"/>
    </row>
    <row r="103" spans="2:3" ht="13.2" x14ac:dyDescent="0.25">
      <c r="B103" s="106"/>
      <c r="C103" s="107"/>
    </row>
    <row r="104" spans="2:3" ht="13.2" x14ac:dyDescent="0.25">
      <c r="B104" s="106"/>
      <c r="C104" s="107"/>
    </row>
    <row r="105" spans="2:3" ht="13.2" x14ac:dyDescent="0.25">
      <c r="B105" s="106"/>
      <c r="C105" s="107"/>
    </row>
    <row r="106" spans="2:3" ht="13.2" x14ac:dyDescent="0.25">
      <c r="B106" s="106"/>
      <c r="C106" s="107"/>
    </row>
    <row r="107" spans="2:3" ht="13.2" x14ac:dyDescent="0.25">
      <c r="B107" s="106"/>
      <c r="C107" s="107"/>
    </row>
    <row r="108" spans="2:3" ht="13.2" x14ac:dyDescent="0.25">
      <c r="B108" s="106"/>
      <c r="C108" s="107"/>
    </row>
    <row r="109" spans="2:3" ht="13.2" x14ac:dyDescent="0.25">
      <c r="B109" s="106"/>
      <c r="C109" s="107"/>
    </row>
    <row r="110" spans="2:3" ht="13.2" x14ac:dyDescent="0.25">
      <c r="B110" s="106"/>
      <c r="C110" s="107"/>
    </row>
    <row r="111" spans="2:3" ht="13.2" x14ac:dyDescent="0.25">
      <c r="B111" s="106"/>
      <c r="C111" s="107"/>
    </row>
    <row r="112" spans="2:3" ht="13.2" x14ac:dyDescent="0.25">
      <c r="B112" s="106"/>
      <c r="C112" s="107"/>
    </row>
    <row r="113" spans="2:3" ht="13.2" x14ac:dyDescent="0.25">
      <c r="B113" s="106"/>
      <c r="C113" s="107"/>
    </row>
    <row r="114" spans="2:3" ht="13.2" x14ac:dyDescent="0.25">
      <c r="B114" s="106"/>
      <c r="C114" s="107"/>
    </row>
    <row r="115" spans="2:3" ht="13.2" x14ac:dyDescent="0.25">
      <c r="B115" s="106"/>
      <c r="C115" s="107"/>
    </row>
    <row r="116" spans="2:3" ht="13.2" x14ac:dyDescent="0.25">
      <c r="B116" s="106"/>
      <c r="C116" s="107"/>
    </row>
    <row r="117" spans="2:3" ht="13.2" x14ac:dyDescent="0.25">
      <c r="B117" s="106"/>
      <c r="C117" s="107"/>
    </row>
    <row r="118" spans="2:3" ht="13.2" x14ac:dyDescent="0.25">
      <c r="B118" s="106"/>
      <c r="C118" s="107"/>
    </row>
    <row r="119" spans="2:3" ht="13.2" x14ac:dyDescent="0.25">
      <c r="B119" s="106"/>
      <c r="C119" s="107"/>
    </row>
    <row r="120" spans="2:3" ht="13.2" x14ac:dyDescent="0.25">
      <c r="B120" s="106"/>
      <c r="C120" s="107"/>
    </row>
    <row r="121" spans="2:3" ht="13.2" x14ac:dyDescent="0.25">
      <c r="B121" s="106"/>
      <c r="C121" s="107"/>
    </row>
    <row r="122" spans="2:3" ht="13.2" x14ac:dyDescent="0.25">
      <c r="B122" s="106"/>
      <c r="C122" s="107"/>
    </row>
    <row r="123" spans="2:3" ht="13.2" x14ac:dyDescent="0.25">
      <c r="B123" s="106"/>
      <c r="C123" s="107"/>
    </row>
    <row r="124" spans="2:3" ht="13.2" x14ac:dyDescent="0.25">
      <c r="B124" s="106"/>
      <c r="C124" s="107"/>
    </row>
    <row r="125" spans="2:3" ht="13.2" x14ac:dyDescent="0.25">
      <c r="B125" s="106"/>
      <c r="C125" s="107"/>
    </row>
    <row r="126" spans="2:3" ht="13.2" x14ac:dyDescent="0.25">
      <c r="B126" s="106"/>
      <c r="C126" s="107"/>
    </row>
    <row r="127" spans="2:3" ht="13.2" x14ac:dyDescent="0.25">
      <c r="B127" s="106"/>
      <c r="C127" s="107"/>
    </row>
    <row r="128" spans="2:3" ht="13.2" x14ac:dyDescent="0.25">
      <c r="B128" s="106"/>
      <c r="C128" s="107"/>
    </row>
    <row r="129" spans="2:3" ht="13.2" x14ac:dyDescent="0.25">
      <c r="B129" s="106"/>
      <c r="C129" s="107"/>
    </row>
    <row r="130" spans="2:3" ht="13.2" x14ac:dyDescent="0.25">
      <c r="B130" s="106"/>
      <c r="C130" s="107"/>
    </row>
    <row r="131" spans="2:3" ht="13.2" x14ac:dyDescent="0.25">
      <c r="B131" s="106"/>
      <c r="C131" s="107"/>
    </row>
    <row r="132" spans="2:3" ht="13.2" x14ac:dyDescent="0.25">
      <c r="B132" s="106"/>
      <c r="C132" s="107"/>
    </row>
    <row r="133" spans="2:3" ht="13.2" x14ac:dyDescent="0.25">
      <c r="B133" s="106"/>
      <c r="C133" s="107"/>
    </row>
    <row r="134" spans="2:3" ht="13.2" x14ac:dyDescent="0.25">
      <c r="B134" s="106"/>
      <c r="C134" s="107"/>
    </row>
    <row r="135" spans="2:3" ht="13.2" x14ac:dyDescent="0.25">
      <c r="B135" s="106"/>
      <c r="C135" s="107"/>
    </row>
    <row r="136" spans="2:3" ht="13.2" x14ac:dyDescent="0.25">
      <c r="B136" s="106"/>
      <c r="C136" s="107"/>
    </row>
    <row r="137" spans="2:3" ht="13.2" x14ac:dyDescent="0.25">
      <c r="B137" s="106"/>
      <c r="C137" s="107"/>
    </row>
    <row r="138" spans="2:3" ht="13.2" x14ac:dyDescent="0.25">
      <c r="B138" s="106"/>
      <c r="C138" s="107"/>
    </row>
    <row r="139" spans="2:3" ht="13.2" x14ac:dyDescent="0.25">
      <c r="B139" s="106"/>
      <c r="C139" s="107"/>
    </row>
    <row r="140" spans="2:3" ht="13.2" x14ac:dyDescent="0.25">
      <c r="B140" s="106"/>
      <c r="C140" s="107"/>
    </row>
    <row r="141" spans="2:3" ht="13.2" x14ac:dyDescent="0.25">
      <c r="B141" s="106"/>
      <c r="C141" s="107"/>
    </row>
    <row r="142" spans="2:3" ht="13.2" x14ac:dyDescent="0.25">
      <c r="B142" s="106"/>
      <c r="C142" s="107"/>
    </row>
    <row r="143" spans="2:3" ht="13.2" x14ac:dyDescent="0.25">
      <c r="B143" s="106"/>
      <c r="C143" s="107"/>
    </row>
    <row r="144" spans="2:3" ht="13.2" x14ac:dyDescent="0.25">
      <c r="B144" s="106"/>
      <c r="C144" s="107"/>
    </row>
    <row r="145" spans="2:3" ht="13.2" x14ac:dyDescent="0.25">
      <c r="B145" s="106"/>
      <c r="C145" s="107"/>
    </row>
    <row r="146" spans="2:3" ht="13.2" x14ac:dyDescent="0.25">
      <c r="B146" s="106"/>
      <c r="C146" s="107"/>
    </row>
    <row r="147" spans="2:3" ht="13.2" x14ac:dyDescent="0.25">
      <c r="B147" s="106"/>
      <c r="C147" s="107"/>
    </row>
    <row r="148" spans="2:3" ht="13.2" x14ac:dyDescent="0.25">
      <c r="B148" s="106"/>
      <c r="C148" s="107"/>
    </row>
    <row r="149" spans="2:3" ht="13.2" x14ac:dyDescent="0.25">
      <c r="B149" s="106"/>
      <c r="C149" s="107"/>
    </row>
    <row r="150" spans="2:3" ht="13.2" x14ac:dyDescent="0.25">
      <c r="B150" s="106"/>
      <c r="C150" s="107"/>
    </row>
    <row r="151" spans="2:3" ht="13.2" x14ac:dyDescent="0.25">
      <c r="B151" s="106"/>
      <c r="C151" s="107"/>
    </row>
    <row r="152" spans="2:3" ht="13.2" x14ac:dyDescent="0.25">
      <c r="B152" s="106"/>
      <c r="C152" s="107"/>
    </row>
    <row r="153" spans="2:3" ht="13.2" x14ac:dyDescent="0.25">
      <c r="B153" s="106"/>
      <c r="C153" s="107"/>
    </row>
    <row r="154" spans="2:3" ht="13.2" x14ac:dyDescent="0.25">
      <c r="B154" s="106"/>
      <c r="C154" s="107"/>
    </row>
    <row r="155" spans="2:3" ht="13.2" x14ac:dyDescent="0.25">
      <c r="B155" s="106"/>
      <c r="C155" s="107"/>
    </row>
    <row r="156" spans="2:3" ht="13.2" x14ac:dyDescent="0.25">
      <c r="B156" s="106"/>
      <c r="C156" s="107"/>
    </row>
    <row r="157" spans="2:3" ht="13.2" x14ac:dyDescent="0.25">
      <c r="B157" s="106"/>
      <c r="C157" s="107"/>
    </row>
    <row r="158" spans="2:3" ht="13.2" x14ac:dyDescent="0.25">
      <c r="B158" s="106"/>
      <c r="C158" s="107"/>
    </row>
    <row r="159" spans="2:3" ht="13.2" x14ac:dyDescent="0.25">
      <c r="B159" s="106"/>
      <c r="C159" s="107"/>
    </row>
    <row r="160" spans="2:3" ht="13.2" x14ac:dyDescent="0.25">
      <c r="B160" s="106"/>
      <c r="C160" s="107"/>
    </row>
    <row r="161" spans="2:3" ht="13.2" x14ac:dyDescent="0.25">
      <c r="B161" s="106"/>
      <c r="C161" s="107"/>
    </row>
    <row r="162" spans="2:3" ht="13.2" x14ac:dyDescent="0.25">
      <c r="B162" s="106"/>
      <c r="C162" s="107"/>
    </row>
    <row r="163" spans="2:3" ht="13.2" x14ac:dyDescent="0.25">
      <c r="B163" s="106"/>
      <c r="C163" s="107"/>
    </row>
    <row r="164" spans="2:3" ht="13.2" x14ac:dyDescent="0.25">
      <c r="B164" s="106"/>
      <c r="C164" s="107"/>
    </row>
    <row r="165" spans="2:3" ht="13.2" x14ac:dyDescent="0.25">
      <c r="B165" s="106"/>
      <c r="C165" s="107"/>
    </row>
    <row r="166" spans="2:3" ht="13.2" x14ac:dyDescent="0.25">
      <c r="B166" s="106"/>
      <c r="C166" s="107"/>
    </row>
    <row r="167" spans="2:3" ht="13.2" x14ac:dyDescent="0.25">
      <c r="B167" s="106"/>
      <c r="C167" s="107"/>
    </row>
    <row r="168" spans="2:3" ht="13.2" x14ac:dyDescent="0.25">
      <c r="B168" s="106"/>
      <c r="C168" s="107"/>
    </row>
    <row r="169" spans="2:3" ht="13.2" x14ac:dyDescent="0.25">
      <c r="B169" s="106"/>
      <c r="C169" s="107"/>
    </row>
    <row r="170" spans="2:3" ht="13.2" x14ac:dyDescent="0.25">
      <c r="B170" s="106"/>
      <c r="C170" s="107"/>
    </row>
    <row r="171" spans="2:3" ht="13.2" x14ac:dyDescent="0.25">
      <c r="B171" s="106"/>
      <c r="C171" s="107"/>
    </row>
    <row r="172" spans="2:3" ht="13.2" x14ac:dyDescent="0.25">
      <c r="B172" s="106"/>
      <c r="C172" s="107"/>
    </row>
    <row r="173" spans="2:3" ht="13.2" x14ac:dyDescent="0.25">
      <c r="B173" s="106"/>
      <c r="C173" s="107"/>
    </row>
    <row r="174" spans="2:3" ht="13.2" x14ac:dyDescent="0.25">
      <c r="B174" s="106"/>
      <c r="C174" s="107"/>
    </row>
    <row r="175" spans="2:3" ht="13.2" x14ac:dyDescent="0.25">
      <c r="B175" s="106"/>
      <c r="C175" s="107"/>
    </row>
    <row r="176" spans="2:3" ht="13.2" x14ac:dyDescent="0.25">
      <c r="B176" s="106"/>
      <c r="C176" s="107"/>
    </row>
    <row r="177" spans="2:3" ht="13.2" x14ac:dyDescent="0.25">
      <c r="B177" s="106"/>
      <c r="C177" s="107"/>
    </row>
    <row r="178" spans="2:3" ht="13.2" x14ac:dyDescent="0.25">
      <c r="B178" s="106"/>
      <c r="C178" s="107"/>
    </row>
    <row r="179" spans="2:3" ht="13.2" x14ac:dyDescent="0.25">
      <c r="B179" s="106"/>
      <c r="C179" s="107"/>
    </row>
    <row r="180" spans="2:3" ht="13.2" x14ac:dyDescent="0.25">
      <c r="B180" s="106"/>
      <c r="C180" s="107"/>
    </row>
    <row r="181" spans="2:3" ht="13.2" x14ac:dyDescent="0.25">
      <c r="B181" s="106"/>
      <c r="C181" s="107"/>
    </row>
    <row r="182" spans="2:3" ht="13.2" x14ac:dyDescent="0.25">
      <c r="B182" s="106"/>
      <c r="C182" s="107"/>
    </row>
    <row r="183" spans="2:3" ht="13.2" x14ac:dyDescent="0.25">
      <c r="B183" s="106"/>
      <c r="C183" s="107"/>
    </row>
    <row r="184" spans="2:3" ht="13.2" x14ac:dyDescent="0.25">
      <c r="B184" s="106"/>
      <c r="C184" s="107"/>
    </row>
    <row r="185" spans="2:3" ht="13.2" x14ac:dyDescent="0.25">
      <c r="B185" s="106"/>
      <c r="C185" s="107"/>
    </row>
    <row r="186" spans="2:3" ht="13.2" x14ac:dyDescent="0.25">
      <c r="B186" s="106"/>
      <c r="C186" s="107"/>
    </row>
    <row r="187" spans="2:3" ht="13.2" x14ac:dyDescent="0.25">
      <c r="B187" s="106"/>
      <c r="C187" s="107"/>
    </row>
    <row r="188" spans="2:3" ht="13.2" x14ac:dyDescent="0.25">
      <c r="B188" s="106"/>
      <c r="C188" s="107"/>
    </row>
    <row r="189" spans="2:3" ht="13.2" x14ac:dyDescent="0.25">
      <c r="B189" s="106"/>
      <c r="C189" s="107"/>
    </row>
    <row r="190" spans="2:3" ht="13.2" x14ac:dyDescent="0.25">
      <c r="B190" s="106"/>
      <c r="C190" s="107"/>
    </row>
    <row r="191" spans="2:3" ht="13.2" x14ac:dyDescent="0.25">
      <c r="B191" s="106"/>
      <c r="C191" s="107"/>
    </row>
    <row r="192" spans="2:3" ht="13.2" x14ac:dyDescent="0.25">
      <c r="B192" s="106"/>
      <c r="C192" s="107"/>
    </row>
    <row r="193" spans="2:3" ht="13.2" x14ac:dyDescent="0.25">
      <c r="B193" s="106"/>
      <c r="C193" s="107"/>
    </row>
    <row r="194" spans="2:3" ht="13.2" x14ac:dyDescent="0.25">
      <c r="B194" s="106"/>
      <c r="C194" s="107"/>
    </row>
    <row r="195" spans="2:3" ht="13.2" x14ac:dyDescent="0.25">
      <c r="B195" s="106"/>
      <c r="C195" s="107"/>
    </row>
    <row r="196" spans="2:3" ht="13.2" x14ac:dyDescent="0.25">
      <c r="B196" s="106"/>
      <c r="C196" s="107"/>
    </row>
    <row r="197" spans="2:3" ht="13.2" x14ac:dyDescent="0.25">
      <c r="B197" s="106"/>
      <c r="C197" s="107"/>
    </row>
    <row r="198" spans="2:3" ht="13.2" x14ac:dyDescent="0.25">
      <c r="B198" s="106"/>
      <c r="C198" s="107"/>
    </row>
    <row r="199" spans="2:3" ht="13.2" x14ac:dyDescent="0.25">
      <c r="B199" s="106"/>
      <c r="C199" s="107"/>
    </row>
    <row r="200" spans="2:3" ht="13.2" x14ac:dyDescent="0.25">
      <c r="B200" s="106"/>
      <c r="C200" s="107"/>
    </row>
    <row r="201" spans="2:3" ht="13.2" x14ac:dyDescent="0.25">
      <c r="B201" s="106"/>
      <c r="C201" s="107"/>
    </row>
    <row r="202" spans="2:3" ht="13.2" x14ac:dyDescent="0.25">
      <c r="B202" s="106"/>
      <c r="C202" s="107"/>
    </row>
    <row r="203" spans="2:3" ht="13.2" x14ac:dyDescent="0.25">
      <c r="B203" s="106"/>
      <c r="C203" s="107"/>
    </row>
    <row r="204" spans="2:3" ht="13.2" x14ac:dyDescent="0.25">
      <c r="B204" s="106"/>
      <c r="C204" s="107"/>
    </row>
    <row r="205" spans="2:3" ht="13.2" x14ac:dyDescent="0.25">
      <c r="B205" s="106"/>
      <c r="C205" s="107"/>
    </row>
    <row r="206" spans="2:3" ht="13.2" x14ac:dyDescent="0.25">
      <c r="B206" s="106"/>
      <c r="C206" s="107"/>
    </row>
    <row r="207" spans="2:3" ht="13.2" x14ac:dyDescent="0.25">
      <c r="B207" s="106"/>
      <c r="C207" s="107"/>
    </row>
    <row r="208" spans="2:3" ht="13.2" x14ac:dyDescent="0.25">
      <c r="B208" s="106"/>
      <c r="C208" s="107"/>
    </row>
    <row r="209" spans="2:3" ht="13.2" x14ac:dyDescent="0.25">
      <c r="B209" s="106"/>
      <c r="C209" s="107"/>
    </row>
    <row r="210" spans="2:3" ht="13.2" x14ac:dyDescent="0.25">
      <c r="B210" s="106"/>
      <c r="C210" s="107"/>
    </row>
    <row r="211" spans="2:3" ht="13.2" x14ac:dyDescent="0.25">
      <c r="B211" s="106"/>
      <c r="C211" s="107"/>
    </row>
    <row r="212" spans="2:3" ht="13.2" x14ac:dyDescent="0.25">
      <c r="B212" s="106"/>
      <c r="C212" s="107"/>
    </row>
    <row r="213" spans="2:3" ht="13.2" x14ac:dyDescent="0.25">
      <c r="B213" s="106"/>
      <c r="C213" s="107"/>
    </row>
    <row r="214" spans="2:3" ht="13.2" x14ac:dyDescent="0.25">
      <c r="B214" s="106"/>
      <c r="C214" s="107"/>
    </row>
    <row r="215" spans="2:3" ht="13.2" x14ac:dyDescent="0.25">
      <c r="B215" s="106"/>
      <c r="C215" s="107"/>
    </row>
    <row r="216" spans="2:3" ht="13.2" x14ac:dyDescent="0.25">
      <c r="B216" s="106"/>
      <c r="C216" s="107"/>
    </row>
    <row r="217" spans="2:3" ht="13.2" x14ac:dyDescent="0.25">
      <c r="B217" s="106"/>
      <c r="C217" s="107"/>
    </row>
    <row r="218" spans="2:3" ht="13.2" x14ac:dyDescent="0.25">
      <c r="B218" s="106"/>
      <c r="C218" s="107"/>
    </row>
    <row r="219" spans="2:3" ht="13.2" x14ac:dyDescent="0.25">
      <c r="B219" s="106"/>
      <c r="C219" s="107"/>
    </row>
    <row r="220" spans="2:3" ht="13.2" x14ac:dyDescent="0.25">
      <c r="B220" s="106"/>
      <c r="C220" s="107"/>
    </row>
    <row r="221" spans="2:3" ht="13.2" x14ac:dyDescent="0.25">
      <c r="B221" s="106"/>
      <c r="C221" s="107"/>
    </row>
    <row r="222" spans="2:3" ht="13.2" x14ac:dyDescent="0.25">
      <c r="B222" s="106"/>
      <c r="C222" s="107"/>
    </row>
    <row r="223" spans="2:3" ht="13.2" x14ac:dyDescent="0.25">
      <c r="B223" s="106"/>
      <c r="C223" s="107"/>
    </row>
    <row r="224" spans="2:3" ht="13.2" x14ac:dyDescent="0.25">
      <c r="B224" s="106"/>
      <c r="C224" s="107"/>
    </row>
    <row r="225" spans="2:3" ht="13.2" x14ac:dyDescent="0.25">
      <c r="B225" s="106"/>
      <c r="C225" s="107"/>
    </row>
    <row r="226" spans="2:3" ht="13.2" x14ac:dyDescent="0.25">
      <c r="B226" s="106"/>
      <c r="C226" s="107"/>
    </row>
    <row r="227" spans="2:3" ht="13.2" x14ac:dyDescent="0.25">
      <c r="B227" s="106"/>
      <c r="C227" s="107"/>
    </row>
    <row r="228" spans="2:3" ht="13.2" x14ac:dyDescent="0.25">
      <c r="B228" s="106"/>
      <c r="C228" s="107"/>
    </row>
    <row r="229" spans="2:3" ht="13.2" x14ac:dyDescent="0.25">
      <c r="B229" s="106"/>
      <c r="C229" s="107"/>
    </row>
    <row r="230" spans="2:3" ht="13.2" x14ac:dyDescent="0.25">
      <c r="B230" s="106"/>
      <c r="C230" s="107"/>
    </row>
    <row r="231" spans="2:3" ht="13.2" x14ac:dyDescent="0.25">
      <c r="B231" s="106"/>
      <c r="C231" s="107"/>
    </row>
    <row r="232" spans="2:3" ht="13.2" x14ac:dyDescent="0.25">
      <c r="B232" s="106"/>
      <c r="C232" s="107"/>
    </row>
    <row r="233" spans="2:3" ht="13.2" x14ac:dyDescent="0.25">
      <c r="B233" s="106"/>
      <c r="C233" s="107"/>
    </row>
    <row r="234" spans="2:3" ht="13.2" x14ac:dyDescent="0.25">
      <c r="B234" s="106"/>
      <c r="C234" s="107"/>
    </row>
    <row r="235" spans="2:3" ht="13.2" x14ac:dyDescent="0.25">
      <c r="B235" s="106"/>
      <c r="C235" s="107"/>
    </row>
    <row r="236" spans="2:3" ht="13.2" x14ac:dyDescent="0.25">
      <c r="B236" s="106"/>
      <c r="C236" s="107"/>
    </row>
    <row r="237" spans="2:3" ht="13.2" x14ac:dyDescent="0.25">
      <c r="B237" s="106"/>
      <c r="C237" s="107"/>
    </row>
    <row r="238" spans="2:3" ht="13.2" x14ac:dyDescent="0.25">
      <c r="B238" s="106"/>
      <c r="C238" s="107"/>
    </row>
    <row r="239" spans="2:3" ht="13.2" x14ac:dyDescent="0.25">
      <c r="B239" s="106"/>
      <c r="C239" s="107"/>
    </row>
    <row r="240" spans="2:3" ht="13.2" x14ac:dyDescent="0.25">
      <c r="B240" s="106"/>
      <c r="C240" s="107"/>
    </row>
    <row r="241" spans="2:3" ht="13.2" x14ac:dyDescent="0.25">
      <c r="B241" s="106"/>
      <c r="C241" s="107"/>
    </row>
    <row r="242" spans="2:3" ht="13.2" x14ac:dyDescent="0.25">
      <c r="B242" s="106"/>
      <c r="C242" s="107"/>
    </row>
    <row r="243" spans="2:3" ht="13.2" x14ac:dyDescent="0.25">
      <c r="B243" s="106"/>
      <c r="C243" s="107"/>
    </row>
    <row r="244" spans="2:3" ht="13.2" x14ac:dyDescent="0.25">
      <c r="B244" s="106"/>
      <c r="C244" s="107"/>
    </row>
    <row r="245" spans="2:3" ht="13.2" x14ac:dyDescent="0.25">
      <c r="B245" s="106"/>
      <c r="C245" s="107"/>
    </row>
    <row r="246" spans="2:3" ht="13.2" x14ac:dyDescent="0.25">
      <c r="B246" s="106"/>
      <c r="C246" s="107"/>
    </row>
    <row r="247" spans="2:3" ht="13.2" x14ac:dyDescent="0.25">
      <c r="B247" s="106"/>
      <c r="C247" s="107"/>
    </row>
    <row r="248" spans="2:3" ht="13.2" x14ac:dyDescent="0.25">
      <c r="B248" s="106"/>
      <c r="C248" s="107"/>
    </row>
    <row r="249" spans="2:3" ht="13.2" x14ac:dyDescent="0.25">
      <c r="B249" s="106"/>
      <c r="C249" s="107"/>
    </row>
    <row r="250" spans="2:3" ht="13.2" x14ac:dyDescent="0.25">
      <c r="B250" s="106"/>
      <c r="C250" s="107"/>
    </row>
    <row r="251" spans="2:3" ht="13.2" x14ac:dyDescent="0.25">
      <c r="B251" s="106"/>
      <c r="C251" s="107"/>
    </row>
    <row r="252" spans="2:3" ht="13.2" x14ac:dyDescent="0.25">
      <c r="B252" s="106"/>
      <c r="C252" s="107"/>
    </row>
    <row r="253" spans="2:3" ht="13.2" x14ac:dyDescent="0.25">
      <c r="B253" s="106"/>
      <c r="C253" s="107"/>
    </row>
    <row r="254" spans="2:3" ht="13.2" x14ac:dyDescent="0.25">
      <c r="B254" s="106"/>
      <c r="C254" s="107"/>
    </row>
    <row r="255" spans="2:3" ht="13.2" x14ac:dyDescent="0.25">
      <c r="B255" s="106"/>
      <c r="C255" s="107"/>
    </row>
    <row r="256" spans="2:3" ht="13.2" x14ac:dyDescent="0.25">
      <c r="B256" s="106"/>
      <c r="C256" s="107"/>
    </row>
    <row r="257" spans="2:3" ht="13.2" x14ac:dyDescent="0.25">
      <c r="B257" s="106"/>
      <c r="C257" s="107"/>
    </row>
    <row r="258" spans="2:3" ht="13.2" x14ac:dyDescent="0.25">
      <c r="B258" s="106"/>
      <c r="C258" s="107"/>
    </row>
    <row r="259" spans="2:3" ht="13.2" x14ac:dyDescent="0.25">
      <c r="B259" s="106"/>
      <c r="C259" s="107"/>
    </row>
    <row r="260" spans="2:3" ht="13.2" x14ac:dyDescent="0.25">
      <c r="B260" s="106"/>
      <c r="C260" s="107"/>
    </row>
    <row r="261" spans="2:3" ht="13.2" x14ac:dyDescent="0.25">
      <c r="B261" s="106"/>
      <c r="C261" s="107"/>
    </row>
    <row r="262" spans="2:3" ht="13.2" x14ac:dyDescent="0.25">
      <c r="B262" s="106"/>
      <c r="C262" s="107"/>
    </row>
    <row r="263" spans="2:3" ht="13.2" x14ac:dyDescent="0.25">
      <c r="B263" s="106"/>
      <c r="C263" s="107"/>
    </row>
    <row r="264" spans="2:3" ht="13.2" x14ac:dyDescent="0.25">
      <c r="B264" s="106"/>
      <c r="C264" s="107"/>
    </row>
    <row r="265" spans="2:3" ht="13.2" x14ac:dyDescent="0.25">
      <c r="B265" s="106"/>
      <c r="C265" s="107"/>
    </row>
    <row r="266" spans="2:3" ht="13.2" x14ac:dyDescent="0.25">
      <c r="B266" s="106"/>
      <c r="C266" s="107"/>
    </row>
    <row r="267" spans="2:3" ht="13.2" x14ac:dyDescent="0.25">
      <c r="B267" s="106"/>
      <c r="C267" s="107"/>
    </row>
    <row r="268" spans="2:3" ht="13.2" x14ac:dyDescent="0.25">
      <c r="B268" s="106"/>
      <c r="C268" s="107"/>
    </row>
    <row r="269" spans="2:3" ht="13.2" x14ac:dyDescent="0.25">
      <c r="B269" s="106"/>
      <c r="C269" s="107"/>
    </row>
    <row r="270" spans="2:3" ht="13.2" x14ac:dyDescent="0.25">
      <c r="B270" s="106"/>
      <c r="C270" s="107"/>
    </row>
    <row r="271" spans="2:3" ht="13.2" x14ac:dyDescent="0.25">
      <c r="B271" s="106"/>
      <c r="C271" s="107"/>
    </row>
    <row r="272" spans="2:3" ht="13.2" x14ac:dyDescent="0.25">
      <c r="B272" s="106"/>
      <c r="C272" s="107"/>
    </row>
    <row r="273" spans="2:3" ht="13.2" x14ac:dyDescent="0.25">
      <c r="B273" s="106"/>
      <c r="C273" s="107"/>
    </row>
    <row r="274" spans="2:3" ht="13.2" x14ac:dyDescent="0.25">
      <c r="B274" s="106"/>
      <c r="C274" s="107"/>
    </row>
    <row r="275" spans="2:3" ht="13.2" x14ac:dyDescent="0.25">
      <c r="B275" s="106"/>
      <c r="C275" s="107"/>
    </row>
    <row r="276" spans="2:3" ht="13.2" x14ac:dyDescent="0.25">
      <c r="B276" s="106"/>
      <c r="C276" s="107"/>
    </row>
    <row r="277" spans="2:3" ht="13.2" x14ac:dyDescent="0.25">
      <c r="B277" s="106"/>
      <c r="C277" s="107"/>
    </row>
    <row r="278" spans="2:3" ht="13.2" x14ac:dyDescent="0.25">
      <c r="B278" s="106"/>
      <c r="C278" s="107"/>
    </row>
    <row r="279" spans="2:3" ht="13.2" x14ac:dyDescent="0.25">
      <c r="B279" s="106"/>
      <c r="C279" s="107"/>
    </row>
    <row r="280" spans="2:3" ht="13.2" x14ac:dyDescent="0.25">
      <c r="B280" s="106"/>
      <c r="C280" s="107"/>
    </row>
    <row r="281" spans="2:3" ht="13.2" x14ac:dyDescent="0.25">
      <c r="B281" s="106"/>
      <c r="C281" s="107"/>
    </row>
    <row r="282" spans="2:3" ht="13.2" x14ac:dyDescent="0.25">
      <c r="B282" s="106"/>
      <c r="C282" s="107"/>
    </row>
    <row r="283" spans="2:3" ht="13.2" x14ac:dyDescent="0.25">
      <c r="B283" s="106"/>
      <c r="C283" s="107"/>
    </row>
    <row r="284" spans="2:3" ht="13.2" x14ac:dyDescent="0.25">
      <c r="B284" s="106"/>
      <c r="C284" s="107"/>
    </row>
    <row r="285" spans="2:3" ht="13.2" x14ac:dyDescent="0.25">
      <c r="B285" s="106"/>
      <c r="C285" s="107"/>
    </row>
    <row r="286" spans="2:3" ht="13.2" x14ac:dyDescent="0.25">
      <c r="B286" s="106"/>
      <c r="C286" s="107"/>
    </row>
    <row r="287" spans="2:3" ht="13.2" x14ac:dyDescent="0.25">
      <c r="B287" s="106"/>
      <c r="C287" s="107"/>
    </row>
    <row r="288" spans="2:3" ht="13.2" x14ac:dyDescent="0.25">
      <c r="B288" s="106"/>
      <c r="C288" s="107"/>
    </row>
    <row r="289" spans="2:3" ht="13.2" x14ac:dyDescent="0.25">
      <c r="B289" s="106"/>
      <c r="C289" s="107"/>
    </row>
    <row r="290" spans="2:3" ht="13.2" x14ac:dyDescent="0.25">
      <c r="B290" s="106"/>
      <c r="C290" s="107"/>
    </row>
    <row r="291" spans="2:3" ht="13.2" x14ac:dyDescent="0.25">
      <c r="B291" s="106"/>
      <c r="C291" s="107"/>
    </row>
    <row r="292" spans="2:3" ht="13.2" x14ac:dyDescent="0.25">
      <c r="B292" s="106"/>
      <c r="C292" s="107"/>
    </row>
    <row r="293" spans="2:3" ht="13.2" x14ac:dyDescent="0.25">
      <c r="B293" s="106"/>
      <c r="C293" s="107"/>
    </row>
    <row r="294" spans="2:3" ht="13.2" x14ac:dyDescent="0.25">
      <c r="B294" s="106"/>
      <c r="C294" s="107"/>
    </row>
    <row r="295" spans="2:3" ht="13.2" x14ac:dyDescent="0.25">
      <c r="B295" s="106"/>
      <c r="C295" s="107"/>
    </row>
    <row r="296" spans="2:3" ht="13.2" x14ac:dyDescent="0.25">
      <c r="B296" s="106"/>
      <c r="C296" s="107"/>
    </row>
    <row r="297" spans="2:3" ht="13.2" x14ac:dyDescent="0.25">
      <c r="B297" s="106"/>
      <c r="C297" s="107"/>
    </row>
    <row r="298" spans="2:3" ht="13.2" x14ac:dyDescent="0.25">
      <c r="B298" s="106"/>
      <c r="C298" s="107"/>
    </row>
    <row r="299" spans="2:3" ht="13.2" x14ac:dyDescent="0.25">
      <c r="B299" s="106"/>
      <c r="C299" s="107"/>
    </row>
    <row r="300" spans="2:3" ht="13.2" x14ac:dyDescent="0.25">
      <c r="B300" s="106"/>
      <c r="C300" s="107"/>
    </row>
    <row r="301" spans="2:3" ht="13.2" x14ac:dyDescent="0.25">
      <c r="B301" s="106"/>
      <c r="C301" s="107"/>
    </row>
    <row r="302" spans="2:3" ht="13.2" x14ac:dyDescent="0.25">
      <c r="B302" s="106"/>
      <c r="C302" s="107"/>
    </row>
    <row r="303" spans="2:3" ht="13.2" x14ac:dyDescent="0.25">
      <c r="B303" s="106"/>
      <c r="C303" s="107"/>
    </row>
    <row r="304" spans="2:3" ht="13.2" x14ac:dyDescent="0.25">
      <c r="B304" s="106"/>
      <c r="C304" s="107"/>
    </row>
    <row r="305" spans="2:3" ht="13.2" x14ac:dyDescent="0.25">
      <c r="B305" s="106"/>
      <c r="C305" s="107"/>
    </row>
    <row r="306" spans="2:3" ht="13.2" x14ac:dyDescent="0.25">
      <c r="B306" s="106"/>
      <c r="C306" s="107"/>
    </row>
    <row r="307" spans="2:3" ht="13.2" x14ac:dyDescent="0.25">
      <c r="B307" s="106"/>
      <c r="C307" s="107"/>
    </row>
    <row r="308" spans="2:3" ht="13.2" x14ac:dyDescent="0.25">
      <c r="B308" s="106"/>
      <c r="C308" s="107"/>
    </row>
    <row r="309" spans="2:3" ht="13.2" x14ac:dyDescent="0.25">
      <c r="B309" s="106"/>
      <c r="C309" s="107"/>
    </row>
    <row r="310" spans="2:3" ht="13.2" x14ac:dyDescent="0.25">
      <c r="B310" s="106"/>
      <c r="C310" s="107"/>
    </row>
    <row r="311" spans="2:3" ht="13.2" x14ac:dyDescent="0.25">
      <c r="B311" s="106"/>
      <c r="C311" s="107"/>
    </row>
    <row r="312" spans="2:3" ht="13.2" x14ac:dyDescent="0.25">
      <c r="B312" s="106"/>
      <c r="C312" s="107"/>
    </row>
    <row r="313" spans="2:3" ht="13.2" x14ac:dyDescent="0.25">
      <c r="B313" s="106"/>
      <c r="C313" s="107"/>
    </row>
    <row r="314" spans="2:3" ht="13.2" x14ac:dyDescent="0.25">
      <c r="B314" s="106"/>
      <c r="C314" s="107"/>
    </row>
    <row r="315" spans="2:3" ht="13.2" x14ac:dyDescent="0.25">
      <c r="B315" s="106"/>
      <c r="C315" s="107"/>
    </row>
    <row r="316" spans="2:3" ht="13.2" x14ac:dyDescent="0.25">
      <c r="B316" s="106"/>
      <c r="C316" s="107"/>
    </row>
    <row r="317" spans="2:3" ht="13.2" x14ac:dyDescent="0.25">
      <c r="B317" s="106"/>
      <c r="C317" s="107"/>
    </row>
    <row r="318" spans="2:3" ht="13.2" x14ac:dyDescent="0.25">
      <c r="B318" s="106"/>
      <c r="C318" s="107"/>
    </row>
    <row r="319" spans="2:3" ht="13.2" x14ac:dyDescent="0.25">
      <c r="B319" s="106"/>
      <c r="C319" s="107"/>
    </row>
    <row r="320" spans="2:3" ht="13.2" x14ac:dyDescent="0.25">
      <c r="B320" s="106"/>
      <c r="C320" s="107"/>
    </row>
    <row r="321" spans="2:3" ht="13.2" x14ac:dyDescent="0.25">
      <c r="B321" s="106"/>
      <c r="C321" s="107"/>
    </row>
    <row r="322" spans="2:3" ht="13.2" x14ac:dyDescent="0.25">
      <c r="B322" s="106"/>
      <c r="C322" s="107"/>
    </row>
    <row r="323" spans="2:3" ht="13.2" x14ac:dyDescent="0.25">
      <c r="B323" s="106"/>
      <c r="C323" s="107"/>
    </row>
    <row r="324" spans="2:3" ht="13.2" x14ac:dyDescent="0.25">
      <c r="B324" s="106"/>
      <c r="C324" s="107"/>
    </row>
    <row r="325" spans="2:3" ht="13.2" x14ac:dyDescent="0.25">
      <c r="B325" s="106"/>
      <c r="C325" s="107"/>
    </row>
    <row r="326" spans="2:3" ht="13.2" x14ac:dyDescent="0.25">
      <c r="B326" s="106"/>
      <c r="C326" s="107"/>
    </row>
    <row r="327" spans="2:3" ht="13.2" x14ac:dyDescent="0.25">
      <c r="B327" s="106"/>
      <c r="C327" s="107"/>
    </row>
    <row r="328" spans="2:3" ht="13.2" x14ac:dyDescent="0.25">
      <c r="B328" s="106"/>
      <c r="C328" s="107"/>
    </row>
    <row r="329" spans="2:3" ht="13.2" x14ac:dyDescent="0.25">
      <c r="B329" s="106"/>
      <c r="C329" s="107"/>
    </row>
    <row r="330" spans="2:3" ht="13.2" x14ac:dyDescent="0.25">
      <c r="B330" s="106"/>
      <c r="C330" s="107"/>
    </row>
    <row r="331" spans="2:3" ht="13.2" x14ac:dyDescent="0.25">
      <c r="B331" s="106"/>
      <c r="C331" s="107"/>
    </row>
    <row r="332" spans="2:3" ht="13.2" x14ac:dyDescent="0.25">
      <c r="B332" s="106"/>
      <c r="C332" s="107"/>
    </row>
    <row r="333" spans="2:3" ht="13.2" x14ac:dyDescent="0.25">
      <c r="B333" s="106"/>
      <c r="C333" s="107"/>
    </row>
    <row r="334" spans="2:3" ht="13.2" x14ac:dyDescent="0.25">
      <c r="B334" s="106"/>
      <c r="C334" s="107"/>
    </row>
    <row r="335" spans="2:3" ht="13.2" x14ac:dyDescent="0.25">
      <c r="B335" s="106"/>
      <c r="C335" s="107"/>
    </row>
    <row r="336" spans="2:3" ht="13.2" x14ac:dyDescent="0.25">
      <c r="B336" s="106"/>
      <c r="C336" s="107"/>
    </row>
    <row r="337" spans="2:3" ht="13.2" x14ac:dyDescent="0.25">
      <c r="B337" s="106"/>
      <c r="C337" s="107"/>
    </row>
    <row r="338" spans="2:3" ht="13.2" x14ac:dyDescent="0.25">
      <c r="B338" s="106"/>
      <c r="C338" s="107"/>
    </row>
    <row r="339" spans="2:3" ht="13.2" x14ac:dyDescent="0.25">
      <c r="B339" s="106"/>
      <c r="C339" s="107"/>
    </row>
    <row r="340" spans="2:3" ht="13.2" x14ac:dyDescent="0.25">
      <c r="B340" s="106"/>
      <c r="C340" s="107"/>
    </row>
    <row r="341" spans="2:3" ht="13.2" x14ac:dyDescent="0.25">
      <c r="B341" s="106"/>
      <c r="C341" s="107"/>
    </row>
    <row r="342" spans="2:3" ht="13.2" x14ac:dyDescent="0.25">
      <c r="B342" s="106"/>
      <c r="C342" s="107"/>
    </row>
    <row r="343" spans="2:3" ht="13.2" x14ac:dyDescent="0.25">
      <c r="B343" s="106"/>
      <c r="C343" s="107"/>
    </row>
    <row r="344" spans="2:3" ht="13.2" x14ac:dyDescent="0.25">
      <c r="B344" s="106"/>
      <c r="C344" s="107"/>
    </row>
    <row r="345" spans="2:3" ht="13.2" x14ac:dyDescent="0.25">
      <c r="B345" s="106"/>
      <c r="C345" s="107"/>
    </row>
    <row r="346" spans="2:3" ht="13.2" x14ac:dyDescent="0.25">
      <c r="B346" s="106"/>
      <c r="C346" s="107"/>
    </row>
    <row r="347" spans="2:3" ht="13.2" x14ac:dyDescent="0.25">
      <c r="B347" s="106"/>
      <c r="C347" s="107"/>
    </row>
    <row r="348" spans="2:3" ht="13.2" x14ac:dyDescent="0.25">
      <c r="B348" s="106"/>
      <c r="C348" s="107"/>
    </row>
    <row r="349" spans="2:3" ht="13.2" x14ac:dyDescent="0.25">
      <c r="B349" s="106"/>
      <c r="C349" s="107"/>
    </row>
    <row r="350" spans="2:3" ht="13.2" x14ac:dyDescent="0.25">
      <c r="B350" s="106"/>
      <c r="C350" s="107"/>
    </row>
    <row r="351" spans="2:3" ht="13.2" x14ac:dyDescent="0.25">
      <c r="B351" s="106"/>
      <c r="C351" s="107"/>
    </row>
    <row r="352" spans="2:3" ht="13.2" x14ac:dyDescent="0.25">
      <c r="B352" s="106"/>
      <c r="C352" s="107"/>
    </row>
    <row r="353" spans="2:3" ht="13.2" x14ac:dyDescent="0.25">
      <c r="B353" s="106"/>
      <c r="C353" s="107"/>
    </row>
    <row r="354" spans="2:3" ht="13.2" x14ac:dyDescent="0.25">
      <c r="B354" s="106"/>
      <c r="C354" s="107"/>
    </row>
    <row r="355" spans="2:3" ht="13.2" x14ac:dyDescent="0.25">
      <c r="B355" s="106"/>
      <c r="C355" s="107"/>
    </row>
    <row r="356" spans="2:3" ht="13.2" x14ac:dyDescent="0.25">
      <c r="B356" s="106"/>
      <c r="C356" s="107"/>
    </row>
    <row r="357" spans="2:3" ht="13.2" x14ac:dyDescent="0.25">
      <c r="B357" s="106"/>
      <c r="C357" s="107"/>
    </row>
    <row r="358" spans="2:3" ht="13.2" x14ac:dyDescent="0.25">
      <c r="B358" s="106"/>
      <c r="C358" s="107"/>
    </row>
    <row r="359" spans="2:3" ht="13.2" x14ac:dyDescent="0.25">
      <c r="B359" s="106"/>
      <c r="C359" s="107"/>
    </row>
    <row r="360" spans="2:3" ht="13.2" x14ac:dyDescent="0.25">
      <c r="B360" s="106"/>
      <c r="C360" s="107"/>
    </row>
    <row r="361" spans="2:3" ht="13.2" x14ac:dyDescent="0.25">
      <c r="B361" s="106"/>
      <c r="C361" s="107"/>
    </row>
    <row r="362" spans="2:3" ht="13.2" x14ac:dyDescent="0.25">
      <c r="B362" s="106"/>
      <c r="C362" s="107"/>
    </row>
    <row r="363" spans="2:3" ht="13.2" x14ac:dyDescent="0.25">
      <c r="B363" s="106"/>
      <c r="C363" s="107"/>
    </row>
    <row r="364" spans="2:3" ht="13.2" x14ac:dyDescent="0.25">
      <c r="B364" s="106"/>
      <c r="C364" s="107"/>
    </row>
    <row r="365" spans="2:3" ht="13.2" x14ac:dyDescent="0.25">
      <c r="B365" s="106"/>
      <c r="C365" s="107"/>
    </row>
    <row r="366" spans="2:3" ht="13.2" x14ac:dyDescent="0.25">
      <c r="B366" s="106"/>
      <c r="C366" s="107"/>
    </row>
    <row r="367" spans="2:3" ht="13.2" x14ac:dyDescent="0.25">
      <c r="B367" s="106"/>
      <c r="C367" s="107"/>
    </row>
    <row r="368" spans="2:3" ht="13.2" x14ac:dyDescent="0.25">
      <c r="B368" s="106"/>
      <c r="C368" s="107"/>
    </row>
    <row r="369" spans="2:3" ht="13.2" x14ac:dyDescent="0.25">
      <c r="B369" s="106"/>
      <c r="C369" s="107"/>
    </row>
    <row r="370" spans="2:3" ht="13.2" x14ac:dyDescent="0.25">
      <c r="B370" s="106"/>
      <c r="C370" s="107"/>
    </row>
    <row r="371" spans="2:3" ht="13.2" x14ac:dyDescent="0.25">
      <c r="B371" s="106"/>
      <c r="C371" s="107"/>
    </row>
    <row r="372" spans="2:3" ht="13.2" x14ac:dyDescent="0.25">
      <c r="B372" s="106"/>
      <c r="C372" s="107"/>
    </row>
    <row r="373" spans="2:3" ht="13.2" x14ac:dyDescent="0.25">
      <c r="B373" s="106"/>
      <c r="C373" s="107"/>
    </row>
    <row r="374" spans="2:3" ht="13.2" x14ac:dyDescent="0.25">
      <c r="B374" s="106"/>
      <c r="C374" s="107"/>
    </row>
    <row r="375" spans="2:3" ht="13.2" x14ac:dyDescent="0.25">
      <c r="B375" s="106"/>
      <c r="C375" s="107"/>
    </row>
    <row r="376" spans="2:3" ht="13.2" x14ac:dyDescent="0.25">
      <c r="B376" s="106"/>
      <c r="C376" s="107"/>
    </row>
    <row r="377" spans="2:3" ht="13.2" x14ac:dyDescent="0.25">
      <c r="B377" s="106"/>
      <c r="C377" s="107"/>
    </row>
    <row r="378" spans="2:3" ht="13.2" x14ac:dyDescent="0.25">
      <c r="B378" s="106"/>
      <c r="C378" s="107"/>
    </row>
    <row r="379" spans="2:3" ht="13.2" x14ac:dyDescent="0.25">
      <c r="B379" s="106"/>
      <c r="C379" s="107"/>
    </row>
    <row r="380" spans="2:3" ht="13.2" x14ac:dyDescent="0.25">
      <c r="B380" s="106"/>
      <c r="C380" s="107"/>
    </row>
    <row r="381" spans="2:3" ht="13.2" x14ac:dyDescent="0.25">
      <c r="B381" s="106"/>
      <c r="C381" s="107"/>
    </row>
    <row r="382" spans="2:3" ht="13.2" x14ac:dyDescent="0.25">
      <c r="B382" s="106"/>
      <c r="C382" s="107"/>
    </row>
    <row r="383" spans="2:3" ht="13.2" x14ac:dyDescent="0.25">
      <c r="B383" s="106"/>
      <c r="C383" s="107"/>
    </row>
    <row r="384" spans="2:3" ht="13.2" x14ac:dyDescent="0.25">
      <c r="B384" s="106"/>
      <c r="C384" s="107"/>
    </row>
    <row r="385" spans="2:3" ht="13.2" x14ac:dyDescent="0.25">
      <c r="B385" s="106"/>
      <c r="C385" s="107"/>
    </row>
    <row r="386" spans="2:3" ht="13.2" x14ac:dyDescent="0.25">
      <c r="B386" s="106"/>
      <c r="C386" s="107"/>
    </row>
    <row r="387" spans="2:3" ht="13.2" x14ac:dyDescent="0.25">
      <c r="B387" s="106"/>
      <c r="C387" s="107"/>
    </row>
    <row r="388" spans="2:3" ht="13.2" x14ac:dyDescent="0.25">
      <c r="B388" s="106"/>
      <c r="C388" s="107"/>
    </row>
    <row r="389" spans="2:3" ht="13.2" x14ac:dyDescent="0.25">
      <c r="B389" s="106"/>
      <c r="C389" s="107"/>
    </row>
    <row r="390" spans="2:3" ht="13.2" x14ac:dyDescent="0.25">
      <c r="B390" s="106"/>
      <c r="C390" s="107"/>
    </row>
    <row r="391" spans="2:3" ht="13.2" x14ac:dyDescent="0.25">
      <c r="B391" s="106"/>
      <c r="C391" s="107"/>
    </row>
    <row r="392" spans="2:3" ht="13.2" x14ac:dyDescent="0.25">
      <c r="B392" s="106"/>
      <c r="C392" s="107"/>
    </row>
    <row r="393" spans="2:3" ht="13.2" x14ac:dyDescent="0.25">
      <c r="B393" s="106"/>
      <c r="C393" s="107"/>
    </row>
    <row r="394" spans="2:3" ht="13.2" x14ac:dyDescent="0.25">
      <c r="B394" s="106"/>
      <c r="C394" s="107"/>
    </row>
    <row r="395" spans="2:3" ht="13.2" x14ac:dyDescent="0.25">
      <c r="B395" s="106"/>
      <c r="C395" s="107"/>
    </row>
    <row r="396" spans="2:3" ht="13.2" x14ac:dyDescent="0.25">
      <c r="B396" s="106"/>
      <c r="C396" s="107"/>
    </row>
    <row r="397" spans="2:3" ht="13.2" x14ac:dyDescent="0.25">
      <c r="B397" s="106"/>
      <c r="C397" s="107"/>
    </row>
    <row r="398" spans="2:3" ht="13.2" x14ac:dyDescent="0.25">
      <c r="B398" s="106"/>
      <c r="C398" s="107"/>
    </row>
    <row r="399" spans="2:3" ht="13.2" x14ac:dyDescent="0.25">
      <c r="B399" s="106"/>
      <c r="C399" s="107"/>
    </row>
    <row r="400" spans="2:3" ht="13.2" x14ac:dyDescent="0.25">
      <c r="B400" s="106"/>
      <c r="C400" s="107"/>
    </row>
    <row r="401" spans="2:3" ht="13.2" x14ac:dyDescent="0.25">
      <c r="B401" s="106"/>
      <c r="C401" s="107"/>
    </row>
    <row r="402" spans="2:3" ht="13.2" x14ac:dyDescent="0.25">
      <c r="B402" s="106"/>
      <c r="C402" s="107"/>
    </row>
    <row r="403" spans="2:3" ht="13.2" x14ac:dyDescent="0.25">
      <c r="B403" s="106"/>
      <c r="C403" s="107"/>
    </row>
    <row r="404" spans="2:3" ht="13.2" x14ac:dyDescent="0.25">
      <c r="B404" s="106"/>
      <c r="C404" s="107"/>
    </row>
    <row r="405" spans="2:3" ht="13.2" x14ac:dyDescent="0.25">
      <c r="B405" s="106"/>
      <c r="C405" s="107"/>
    </row>
    <row r="406" spans="2:3" ht="13.2" x14ac:dyDescent="0.25">
      <c r="B406" s="106"/>
      <c r="C406" s="107"/>
    </row>
    <row r="407" spans="2:3" ht="13.2" x14ac:dyDescent="0.25">
      <c r="B407" s="106"/>
      <c r="C407" s="107"/>
    </row>
    <row r="408" spans="2:3" ht="13.2" x14ac:dyDescent="0.25">
      <c r="B408" s="106"/>
      <c r="C408" s="107"/>
    </row>
    <row r="409" spans="2:3" ht="13.2" x14ac:dyDescent="0.25">
      <c r="B409" s="106"/>
      <c r="C409" s="107"/>
    </row>
    <row r="410" spans="2:3" ht="13.2" x14ac:dyDescent="0.25">
      <c r="B410" s="106"/>
      <c r="C410" s="107"/>
    </row>
    <row r="411" spans="2:3" ht="13.2" x14ac:dyDescent="0.25">
      <c r="B411" s="106"/>
      <c r="C411" s="107"/>
    </row>
    <row r="412" spans="2:3" ht="13.2" x14ac:dyDescent="0.25">
      <c r="B412" s="106"/>
      <c r="C412" s="107"/>
    </row>
    <row r="413" spans="2:3" ht="13.2" x14ac:dyDescent="0.25">
      <c r="B413" s="106"/>
      <c r="C413" s="107"/>
    </row>
    <row r="414" spans="2:3" ht="13.2" x14ac:dyDescent="0.25">
      <c r="B414" s="106"/>
      <c r="C414" s="107"/>
    </row>
    <row r="415" spans="2:3" ht="13.2" x14ac:dyDescent="0.25">
      <c r="B415" s="106"/>
      <c r="C415" s="107"/>
    </row>
    <row r="416" spans="2:3" ht="13.2" x14ac:dyDescent="0.25">
      <c r="B416" s="106"/>
      <c r="C416" s="107"/>
    </row>
    <row r="417" spans="2:3" ht="13.2" x14ac:dyDescent="0.25">
      <c r="B417" s="106"/>
      <c r="C417" s="107"/>
    </row>
    <row r="418" spans="2:3" ht="13.2" x14ac:dyDescent="0.25">
      <c r="B418" s="106"/>
      <c r="C418" s="107"/>
    </row>
    <row r="419" spans="2:3" ht="13.2" x14ac:dyDescent="0.25">
      <c r="B419" s="106"/>
      <c r="C419" s="107"/>
    </row>
    <row r="420" spans="2:3" ht="13.2" x14ac:dyDescent="0.25">
      <c r="B420" s="106"/>
      <c r="C420" s="107"/>
    </row>
    <row r="421" spans="2:3" ht="13.2" x14ac:dyDescent="0.25">
      <c r="B421" s="106"/>
      <c r="C421" s="107"/>
    </row>
    <row r="422" spans="2:3" ht="13.2" x14ac:dyDescent="0.25">
      <c r="B422" s="106"/>
      <c r="C422" s="107"/>
    </row>
    <row r="423" spans="2:3" ht="13.2" x14ac:dyDescent="0.25">
      <c r="B423" s="106"/>
      <c r="C423" s="107"/>
    </row>
    <row r="424" spans="2:3" ht="13.2" x14ac:dyDescent="0.25">
      <c r="B424" s="106"/>
      <c r="C424" s="107"/>
    </row>
    <row r="425" spans="2:3" ht="13.2" x14ac:dyDescent="0.25">
      <c r="B425" s="106"/>
      <c r="C425" s="107"/>
    </row>
    <row r="426" spans="2:3" ht="13.2" x14ac:dyDescent="0.25">
      <c r="B426" s="106"/>
      <c r="C426" s="107"/>
    </row>
    <row r="427" spans="2:3" ht="13.2" x14ac:dyDescent="0.25">
      <c r="B427" s="106"/>
      <c r="C427" s="107"/>
    </row>
    <row r="428" spans="2:3" ht="13.2" x14ac:dyDescent="0.25">
      <c r="B428" s="106"/>
      <c r="C428" s="107"/>
    </row>
    <row r="429" spans="2:3" ht="13.2" x14ac:dyDescent="0.25">
      <c r="B429" s="106"/>
      <c r="C429" s="107"/>
    </row>
    <row r="430" spans="2:3" ht="13.2" x14ac:dyDescent="0.25">
      <c r="B430" s="106"/>
      <c r="C430" s="107"/>
    </row>
    <row r="431" spans="2:3" ht="13.2" x14ac:dyDescent="0.25">
      <c r="B431" s="106"/>
      <c r="C431" s="107"/>
    </row>
    <row r="432" spans="2:3" ht="13.2" x14ac:dyDescent="0.25">
      <c r="B432" s="106"/>
      <c r="C432" s="107"/>
    </row>
    <row r="433" spans="2:3" ht="13.2" x14ac:dyDescent="0.25">
      <c r="B433" s="106"/>
      <c r="C433" s="107"/>
    </row>
    <row r="434" spans="2:3" ht="13.2" x14ac:dyDescent="0.25">
      <c r="B434" s="106"/>
      <c r="C434" s="107"/>
    </row>
    <row r="435" spans="2:3" ht="13.2" x14ac:dyDescent="0.25">
      <c r="B435" s="106"/>
      <c r="C435" s="107"/>
    </row>
    <row r="436" spans="2:3" ht="13.2" x14ac:dyDescent="0.25">
      <c r="B436" s="106"/>
      <c r="C436" s="107"/>
    </row>
    <row r="437" spans="2:3" ht="13.2" x14ac:dyDescent="0.25">
      <c r="B437" s="106"/>
      <c r="C437" s="107"/>
    </row>
    <row r="438" spans="2:3" ht="13.2" x14ac:dyDescent="0.25">
      <c r="B438" s="106"/>
      <c r="C438" s="107"/>
    </row>
    <row r="439" spans="2:3" ht="13.2" x14ac:dyDescent="0.25">
      <c r="B439" s="106"/>
      <c r="C439" s="107"/>
    </row>
    <row r="440" spans="2:3" ht="13.2" x14ac:dyDescent="0.25">
      <c r="B440" s="106"/>
      <c r="C440" s="107"/>
    </row>
    <row r="441" spans="2:3" ht="13.2" x14ac:dyDescent="0.25">
      <c r="B441" s="106"/>
      <c r="C441" s="107"/>
    </row>
    <row r="442" spans="2:3" ht="13.2" x14ac:dyDescent="0.25">
      <c r="B442" s="106"/>
      <c r="C442" s="107"/>
    </row>
    <row r="443" spans="2:3" ht="13.2" x14ac:dyDescent="0.25">
      <c r="B443" s="106"/>
      <c r="C443" s="107"/>
    </row>
    <row r="444" spans="2:3" ht="13.2" x14ac:dyDescent="0.25">
      <c r="B444" s="106"/>
      <c r="C444" s="107"/>
    </row>
    <row r="445" spans="2:3" ht="13.2" x14ac:dyDescent="0.25">
      <c r="B445" s="106"/>
      <c r="C445" s="107"/>
    </row>
    <row r="446" spans="2:3" ht="13.2" x14ac:dyDescent="0.25">
      <c r="B446" s="106"/>
      <c r="C446" s="107"/>
    </row>
    <row r="447" spans="2:3" ht="13.2" x14ac:dyDescent="0.25">
      <c r="B447" s="106"/>
      <c r="C447" s="107"/>
    </row>
    <row r="448" spans="2:3" ht="13.2" x14ac:dyDescent="0.25">
      <c r="B448" s="106"/>
      <c r="C448" s="107"/>
    </row>
    <row r="449" spans="2:3" ht="13.2" x14ac:dyDescent="0.25">
      <c r="B449" s="106"/>
      <c r="C449" s="107"/>
    </row>
    <row r="450" spans="2:3" ht="13.2" x14ac:dyDescent="0.25">
      <c r="B450" s="106"/>
      <c r="C450" s="107"/>
    </row>
    <row r="451" spans="2:3" ht="13.2" x14ac:dyDescent="0.25">
      <c r="B451" s="106"/>
      <c r="C451" s="107"/>
    </row>
    <row r="452" spans="2:3" ht="13.2" x14ac:dyDescent="0.25">
      <c r="B452" s="106"/>
      <c r="C452" s="107"/>
    </row>
    <row r="453" spans="2:3" ht="13.2" x14ac:dyDescent="0.25">
      <c r="B453" s="106"/>
      <c r="C453" s="107"/>
    </row>
    <row r="454" spans="2:3" ht="13.2" x14ac:dyDescent="0.25">
      <c r="B454" s="106"/>
      <c r="C454" s="107"/>
    </row>
    <row r="455" spans="2:3" ht="13.2" x14ac:dyDescent="0.25">
      <c r="B455" s="106"/>
      <c r="C455" s="107"/>
    </row>
    <row r="456" spans="2:3" ht="13.2" x14ac:dyDescent="0.25">
      <c r="B456" s="106"/>
      <c r="C456" s="107"/>
    </row>
    <row r="457" spans="2:3" ht="13.2" x14ac:dyDescent="0.25">
      <c r="B457" s="106"/>
      <c r="C457" s="107"/>
    </row>
    <row r="458" spans="2:3" ht="13.2" x14ac:dyDescent="0.25">
      <c r="B458" s="106"/>
      <c r="C458" s="107"/>
    </row>
    <row r="459" spans="2:3" ht="13.2" x14ac:dyDescent="0.25">
      <c r="B459" s="106"/>
      <c r="C459" s="107"/>
    </row>
    <row r="460" spans="2:3" ht="13.2" x14ac:dyDescent="0.25">
      <c r="B460" s="106"/>
      <c r="C460" s="107"/>
    </row>
    <row r="461" spans="2:3" ht="13.2" x14ac:dyDescent="0.25">
      <c r="B461" s="106"/>
      <c r="C461" s="107"/>
    </row>
    <row r="462" spans="2:3" ht="13.2" x14ac:dyDescent="0.25">
      <c r="B462" s="106"/>
      <c r="C462" s="107"/>
    </row>
    <row r="463" spans="2:3" ht="13.2" x14ac:dyDescent="0.25">
      <c r="B463" s="106"/>
      <c r="C463" s="107"/>
    </row>
    <row r="464" spans="2:3" ht="13.2" x14ac:dyDescent="0.25">
      <c r="B464" s="106"/>
      <c r="C464" s="107"/>
    </row>
    <row r="465" spans="2:3" ht="13.2" x14ac:dyDescent="0.25">
      <c r="B465" s="106"/>
      <c r="C465" s="107"/>
    </row>
    <row r="466" spans="2:3" ht="13.2" x14ac:dyDescent="0.25">
      <c r="B466" s="106"/>
      <c r="C466" s="107"/>
    </row>
    <row r="467" spans="2:3" ht="13.2" x14ac:dyDescent="0.25">
      <c r="B467" s="106"/>
      <c r="C467" s="107"/>
    </row>
    <row r="468" spans="2:3" ht="13.2" x14ac:dyDescent="0.25">
      <c r="B468" s="106"/>
      <c r="C468" s="107"/>
    </row>
    <row r="469" spans="2:3" ht="13.2" x14ac:dyDescent="0.25">
      <c r="B469" s="106"/>
      <c r="C469" s="107"/>
    </row>
    <row r="470" spans="2:3" ht="13.2" x14ac:dyDescent="0.25">
      <c r="B470" s="106"/>
      <c r="C470" s="107"/>
    </row>
    <row r="471" spans="2:3" ht="13.2" x14ac:dyDescent="0.25">
      <c r="B471" s="106"/>
      <c r="C471" s="107"/>
    </row>
    <row r="472" spans="2:3" ht="13.2" x14ac:dyDescent="0.25">
      <c r="B472" s="106"/>
      <c r="C472" s="107"/>
    </row>
    <row r="473" spans="2:3" ht="13.2" x14ac:dyDescent="0.25">
      <c r="B473" s="106"/>
      <c r="C473" s="107"/>
    </row>
    <row r="474" spans="2:3" ht="13.2" x14ac:dyDescent="0.25">
      <c r="B474" s="106"/>
      <c r="C474" s="107"/>
    </row>
    <row r="475" spans="2:3" ht="13.2" x14ac:dyDescent="0.25">
      <c r="B475" s="106"/>
      <c r="C475" s="107"/>
    </row>
    <row r="476" spans="2:3" ht="13.2" x14ac:dyDescent="0.25">
      <c r="B476" s="106"/>
      <c r="C476" s="107"/>
    </row>
    <row r="477" spans="2:3" ht="13.2" x14ac:dyDescent="0.25">
      <c r="B477" s="106"/>
      <c r="C477" s="107"/>
    </row>
    <row r="478" spans="2:3" ht="13.2" x14ac:dyDescent="0.25">
      <c r="B478" s="106"/>
      <c r="C478" s="107"/>
    </row>
    <row r="479" spans="2:3" ht="13.2" x14ac:dyDescent="0.25">
      <c r="B479" s="106"/>
      <c r="C479" s="107"/>
    </row>
    <row r="480" spans="2:3" ht="13.2" x14ac:dyDescent="0.25">
      <c r="B480" s="106"/>
      <c r="C480" s="107"/>
    </row>
    <row r="481" spans="2:3" ht="13.2" x14ac:dyDescent="0.25">
      <c r="B481" s="106"/>
      <c r="C481" s="107"/>
    </row>
    <row r="482" spans="2:3" ht="13.2" x14ac:dyDescent="0.25">
      <c r="B482" s="106"/>
      <c r="C482" s="107"/>
    </row>
    <row r="483" spans="2:3" ht="13.2" x14ac:dyDescent="0.25">
      <c r="B483" s="106"/>
      <c r="C483" s="107"/>
    </row>
    <row r="484" spans="2:3" ht="13.2" x14ac:dyDescent="0.25">
      <c r="B484" s="106"/>
      <c r="C484" s="107"/>
    </row>
    <row r="485" spans="2:3" ht="13.2" x14ac:dyDescent="0.25">
      <c r="B485" s="106"/>
      <c r="C485" s="107"/>
    </row>
    <row r="486" spans="2:3" ht="13.2" x14ac:dyDescent="0.25">
      <c r="B486" s="106"/>
      <c r="C486" s="107"/>
    </row>
    <row r="487" spans="2:3" ht="13.2" x14ac:dyDescent="0.25">
      <c r="B487" s="106"/>
      <c r="C487" s="107"/>
    </row>
    <row r="488" spans="2:3" ht="13.2" x14ac:dyDescent="0.25">
      <c r="B488" s="106"/>
      <c r="C488" s="107"/>
    </row>
    <row r="489" spans="2:3" ht="13.2" x14ac:dyDescent="0.25">
      <c r="B489" s="106"/>
      <c r="C489" s="107"/>
    </row>
    <row r="490" spans="2:3" ht="13.2" x14ac:dyDescent="0.25">
      <c r="B490" s="106"/>
      <c r="C490" s="107"/>
    </row>
    <row r="491" spans="2:3" ht="13.2" x14ac:dyDescent="0.25">
      <c r="B491" s="106"/>
      <c r="C491" s="107"/>
    </row>
    <row r="492" spans="2:3" ht="13.2" x14ac:dyDescent="0.25">
      <c r="B492" s="106"/>
      <c r="C492" s="107"/>
    </row>
    <row r="493" spans="2:3" ht="13.2" x14ac:dyDescent="0.25">
      <c r="B493" s="106"/>
      <c r="C493" s="107"/>
    </row>
    <row r="494" spans="2:3" ht="13.2" x14ac:dyDescent="0.25">
      <c r="B494" s="106"/>
      <c r="C494" s="107"/>
    </row>
    <row r="495" spans="2:3" ht="13.2" x14ac:dyDescent="0.25">
      <c r="B495" s="106"/>
      <c r="C495" s="107"/>
    </row>
    <row r="496" spans="2:3" ht="13.2" x14ac:dyDescent="0.25">
      <c r="B496" s="106"/>
      <c r="C496" s="107"/>
    </row>
    <row r="497" spans="2:3" ht="13.2" x14ac:dyDescent="0.25">
      <c r="B497" s="106"/>
      <c r="C497" s="107"/>
    </row>
    <row r="498" spans="2:3" ht="13.2" x14ac:dyDescent="0.25">
      <c r="B498" s="106"/>
      <c r="C498" s="107"/>
    </row>
    <row r="499" spans="2:3" ht="13.2" x14ac:dyDescent="0.25">
      <c r="B499" s="106"/>
      <c r="C499" s="107"/>
    </row>
    <row r="500" spans="2:3" ht="13.2" x14ac:dyDescent="0.25">
      <c r="B500" s="106"/>
      <c r="C500" s="107"/>
    </row>
    <row r="501" spans="2:3" ht="13.2" x14ac:dyDescent="0.25">
      <c r="B501" s="106"/>
      <c r="C501" s="107"/>
    </row>
    <row r="502" spans="2:3" ht="13.2" x14ac:dyDescent="0.25">
      <c r="B502" s="106"/>
      <c r="C502" s="107"/>
    </row>
    <row r="503" spans="2:3" ht="13.2" x14ac:dyDescent="0.25">
      <c r="B503" s="106"/>
      <c r="C503" s="107"/>
    </row>
    <row r="504" spans="2:3" ht="13.2" x14ac:dyDescent="0.25">
      <c r="B504" s="106"/>
      <c r="C504" s="107"/>
    </row>
    <row r="505" spans="2:3" ht="13.2" x14ac:dyDescent="0.25">
      <c r="B505" s="106"/>
      <c r="C505" s="107"/>
    </row>
    <row r="506" spans="2:3" ht="13.2" x14ac:dyDescent="0.25">
      <c r="B506" s="106"/>
      <c r="C506" s="107"/>
    </row>
    <row r="507" spans="2:3" ht="13.2" x14ac:dyDescent="0.25">
      <c r="B507" s="106"/>
      <c r="C507" s="107"/>
    </row>
    <row r="508" spans="2:3" ht="13.2" x14ac:dyDescent="0.25">
      <c r="B508" s="106"/>
      <c r="C508" s="107"/>
    </row>
    <row r="509" spans="2:3" ht="13.2" x14ac:dyDescent="0.25">
      <c r="B509" s="106"/>
      <c r="C509" s="107"/>
    </row>
    <row r="510" spans="2:3" ht="13.2" x14ac:dyDescent="0.25">
      <c r="B510" s="106"/>
      <c r="C510" s="107"/>
    </row>
    <row r="511" spans="2:3" ht="13.2" x14ac:dyDescent="0.25">
      <c r="B511" s="106"/>
      <c r="C511" s="107"/>
    </row>
    <row r="512" spans="2:3" ht="13.2" x14ac:dyDescent="0.25">
      <c r="B512" s="106"/>
      <c r="C512" s="107"/>
    </row>
    <row r="513" spans="2:3" ht="13.2" x14ac:dyDescent="0.25">
      <c r="B513" s="106"/>
      <c r="C513" s="107"/>
    </row>
    <row r="514" spans="2:3" ht="13.2" x14ac:dyDescent="0.25">
      <c r="B514" s="106"/>
      <c r="C514" s="107"/>
    </row>
    <row r="515" spans="2:3" ht="13.2" x14ac:dyDescent="0.25">
      <c r="B515" s="106"/>
      <c r="C515" s="107"/>
    </row>
    <row r="516" spans="2:3" ht="13.2" x14ac:dyDescent="0.25">
      <c r="B516" s="106"/>
      <c r="C516" s="107"/>
    </row>
    <row r="517" spans="2:3" ht="13.2" x14ac:dyDescent="0.25">
      <c r="B517" s="106"/>
      <c r="C517" s="107"/>
    </row>
    <row r="518" spans="2:3" ht="13.2" x14ac:dyDescent="0.25">
      <c r="B518" s="106"/>
      <c r="C518" s="107"/>
    </row>
    <row r="519" spans="2:3" ht="13.2" x14ac:dyDescent="0.25">
      <c r="B519" s="106"/>
      <c r="C519" s="107"/>
    </row>
    <row r="520" spans="2:3" ht="13.2" x14ac:dyDescent="0.25">
      <c r="B520" s="106"/>
      <c r="C520" s="107"/>
    </row>
    <row r="521" spans="2:3" ht="13.2" x14ac:dyDescent="0.25">
      <c r="B521" s="106"/>
      <c r="C521" s="107"/>
    </row>
    <row r="522" spans="2:3" ht="13.2" x14ac:dyDescent="0.25">
      <c r="B522" s="106"/>
      <c r="C522" s="107"/>
    </row>
    <row r="523" spans="2:3" ht="13.2" x14ac:dyDescent="0.25">
      <c r="B523" s="106"/>
      <c r="C523" s="107"/>
    </row>
    <row r="524" spans="2:3" ht="13.2" x14ac:dyDescent="0.25">
      <c r="B524" s="106"/>
      <c r="C524" s="107"/>
    </row>
    <row r="525" spans="2:3" ht="13.2" x14ac:dyDescent="0.25">
      <c r="B525" s="106"/>
      <c r="C525" s="107"/>
    </row>
    <row r="526" spans="2:3" ht="13.2" x14ac:dyDescent="0.25">
      <c r="B526" s="106"/>
      <c r="C526" s="107"/>
    </row>
    <row r="527" spans="2:3" ht="13.2" x14ac:dyDescent="0.25">
      <c r="B527" s="106"/>
      <c r="C527" s="107"/>
    </row>
    <row r="528" spans="2:3" ht="13.2" x14ac:dyDescent="0.25">
      <c r="B528" s="106"/>
      <c r="C528" s="107"/>
    </row>
    <row r="529" spans="2:3" ht="13.2" x14ac:dyDescent="0.25">
      <c r="B529" s="106"/>
      <c r="C529" s="107"/>
    </row>
    <row r="530" spans="2:3" ht="13.2" x14ac:dyDescent="0.25">
      <c r="B530" s="106"/>
      <c r="C530" s="107"/>
    </row>
    <row r="531" spans="2:3" ht="13.2" x14ac:dyDescent="0.25">
      <c r="B531" s="106"/>
      <c r="C531" s="107"/>
    </row>
    <row r="532" spans="2:3" ht="13.2" x14ac:dyDescent="0.25">
      <c r="B532" s="106"/>
      <c r="C532" s="107"/>
    </row>
    <row r="533" spans="2:3" ht="13.2" x14ac:dyDescent="0.25">
      <c r="B533" s="106"/>
      <c r="C533" s="107"/>
    </row>
    <row r="534" spans="2:3" ht="13.2" x14ac:dyDescent="0.25">
      <c r="B534" s="106"/>
      <c r="C534" s="107"/>
    </row>
    <row r="535" spans="2:3" ht="13.2" x14ac:dyDescent="0.25">
      <c r="B535" s="106"/>
      <c r="C535" s="107"/>
    </row>
    <row r="536" spans="2:3" ht="13.2" x14ac:dyDescent="0.25">
      <c r="B536" s="106"/>
      <c r="C536" s="107"/>
    </row>
    <row r="537" spans="2:3" ht="13.2" x14ac:dyDescent="0.25">
      <c r="B537" s="106"/>
      <c r="C537" s="107"/>
    </row>
    <row r="538" spans="2:3" ht="13.2" x14ac:dyDescent="0.25">
      <c r="B538" s="106"/>
      <c r="C538" s="107"/>
    </row>
    <row r="539" spans="2:3" ht="13.2" x14ac:dyDescent="0.25">
      <c r="B539" s="106"/>
      <c r="C539" s="107"/>
    </row>
    <row r="540" spans="2:3" ht="13.2" x14ac:dyDescent="0.25">
      <c r="B540" s="106"/>
      <c r="C540" s="107"/>
    </row>
    <row r="541" spans="2:3" ht="13.2" x14ac:dyDescent="0.25">
      <c r="B541" s="106"/>
      <c r="C541" s="107"/>
    </row>
    <row r="542" spans="2:3" ht="13.2" x14ac:dyDescent="0.25">
      <c r="B542" s="106"/>
      <c r="C542" s="107"/>
    </row>
    <row r="543" spans="2:3" ht="13.2" x14ac:dyDescent="0.25">
      <c r="B543" s="106"/>
      <c r="C543" s="107"/>
    </row>
    <row r="544" spans="2:3" ht="13.2" x14ac:dyDescent="0.25">
      <c r="B544" s="106"/>
      <c r="C544" s="107"/>
    </row>
    <row r="545" spans="2:3" ht="13.2" x14ac:dyDescent="0.25">
      <c r="B545" s="106"/>
      <c r="C545" s="107"/>
    </row>
    <row r="546" spans="2:3" ht="13.2" x14ac:dyDescent="0.25">
      <c r="B546" s="106"/>
      <c r="C546" s="107"/>
    </row>
    <row r="547" spans="2:3" ht="13.2" x14ac:dyDescent="0.25">
      <c r="B547" s="106"/>
      <c r="C547" s="107"/>
    </row>
    <row r="548" spans="2:3" ht="13.2" x14ac:dyDescent="0.25">
      <c r="B548" s="106"/>
      <c r="C548" s="107"/>
    </row>
    <row r="549" spans="2:3" ht="13.2" x14ac:dyDescent="0.25">
      <c r="B549" s="106"/>
      <c r="C549" s="107"/>
    </row>
    <row r="550" spans="2:3" ht="13.2" x14ac:dyDescent="0.25">
      <c r="B550" s="106"/>
      <c r="C550" s="107"/>
    </row>
    <row r="551" spans="2:3" ht="13.2" x14ac:dyDescent="0.25">
      <c r="B551" s="106"/>
      <c r="C551" s="107"/>
    </row>
    <row r="552" spans="2:3" ht="13.2" x14ac:dyDescent="0.25">
      <c r="B552" s="106"/>
      <c r="C552" s="107"/>
    </row>
    <row r="553" spans="2:3" ht="13.2" x14ac:dyDescent="0.25">
      <c r="B553" s="106"/>
      <c r="C553" s="107"/>
    </row>
    <row r="554" spans="2:3" ht="13.2" x14ac:dyDescent="0.25">
      <c r="B554" s="106"/>
      <c r="C554" s="107"/>
    </row>
    <row r="555" spans="2:3" ht="13.2" x14ac:dyDescent="0.25">
      <c r="B555" s="106"/>
      <c r="C555" s="107"/>
    </row>
    <row r="556" spans="2:3" ht="13.2" x14ac:dyDescent="0.25">
      <c r="B556" s="106"/>
      <c r="C556" s="107"/>
    </row>
    <row r="557" spans="2:3" ht="13.2" x14ac:dyDescent="0.25">
      <c r="B557" s="106"/>
      <c r="C557" s="107"/>
    </row>
    <row r="558" spans="2:3" ht="13.2" x14ac:dyDescent="0.25">
      <c r="B558" s="106"/>
      <c r="C558" s="107"/>
    </row>
    <row r="559" spans="2:3" ht="13.2" x14ac:dyDescent="0.25">
      <c r="B559" s="106"/>
      <c r="C559" s="107"/>
    </row>
    <row r="560" spans="2:3" ht="13.2" x14ac:dyDescent="0.25">
      <c r="B560" s="106"/>
      <c r="C560" s="107"/>
    </row>
    <row r="561" spans="2:3" ht="13.2" x14ac:dyDescent="0.25">
      <c r="B561" s="106"/>
      <c r="C561" s="107"/>
    </row>
    <row r="562" spans="2:3" ht="13.2" x14ac:dyDescent="0.25">
      <c r="B562" s="106"/>
      <c r="C562" s="107"/>
    </row>
    <row r="563" spans="2:3" ht="13.2" x14ac:dyDescent="0.25">
      <c r="B563" s="106"/>
      <c r="C563" s="107"/>
    </row>
    <row r="564" spans="2:3" ht="13.2" x14ac:dyDescent="0.25">
      <c r="B564" s="106"/>
      <c r="C564" s="107"/>
    </row>
    <row r="565" spans="2:3" ht="13.2" x14ac:dyDescent="0.25">
      <c r="B565" s="106"/>
      <c r="C565" s="107"/>
    </row>
    <row r="566" spans="2:3" ht="13.2" x14ac:dyDescent="0.25">
      <c r="B566" s="106"/>
      <c r="C566" s="107"/>
    </row>
    <row r="567" spans="2:3" ht="13.2" x14ac:dyDescent="0.25">
      <c r="B567" s="106"/>
      <c r="C567" s="107"/>
    </row>
    <row r="568" spans="2:3" ht="13.2" x14ac:dyDescent="0.25">
      <c r="B568" s="106"/>
      <c r="C568" s="107"/>
    </row>
    <row r="569" spans="2:3" ht="13.2" x14ac:dyDescent="0.25">
      <c r="B569" s="106"/>
      <c r="C569" s="107"/>
    </row>
    <row r="570" spans="2:3" ht="13.2" x14ac:dyDescent="0.25">
      <c r="B570" s="106"/>
      <c r="C570" s="107"/>
    </row>
    <row r="571" spans="2:3" ht="13.2" x14ac:dyDescent="0.25">
      <c r="B571" s="106"/>
      <c r="C571" s="107"/>
    </row>
    <row r="572" spans="2:3" ht="13.2" x14ac:dyDescent="0.25">
      <c r="B572" s="106"/>
      <c r="C572" s="107"/>
    </row>
    <row r="573" spans="2:3" ht="13.2" x14ac:dyDescent="0.25">
      <c r="B573" s="106"/>
      <c r="C573" s="107"/>
    </row>
    <row r="574" spans="2:3" ht="13.2" x14ac:dyDescent="0.25">
      <c r="B574" s="106"/>
      <c r="C574" s="107"/>
    </row>
    <row r="575" spans="2:3" ht="13.2" x14ac:dyDescent="0.25">
      <c r="B575" s="106"/>
      <c r="C575" s="107"/>
    </row>
    <row r="576" spans="2:3" ht="13.2" x14ac:dyDescent="0.25">
      <c r="B576" s="106"/>
      <c r="C576" s="107"/>
    </row>
    <row r="577" spans="2:3" ht="13.2" x14ac:dyDescent="0.25">
      <c r="B577" s="106"/>
      <c r="C577" s="107"/>
    </row>
    <row r="578" spans="2:3" ht="13.2" x14ac:dyDescent="0.25">
      <c r="B578" s="106"/>
      <c r="C578" s="107"/>
    </row>
    <row r="579" spans="2:3" ht="13.2" x14ac:dyDescent="0.25">
      <c r="B579" s="106"/>
      <c r="C579" s="107"/>
    </row>
    <row r="580" spans="2:3" ht="13.2" x14ac:dyDescent="0.25">
      <c r="B580" s="106"/>
      <c r="C580" s="107"/>
    </row>
    <row r="581" spans="2:3" ht="13.2" x14ac:dyDescent="0.25">
      <c r="B581" s="106"/>
      <c r="C581" s="107"/>
    </row>
    <row r="582" spans="2:3" ht="13.2" x14ac:dyDescent="0.25">
      <c r="B582" s="106"/>
      <c r="C582" s="107"/>
    </row>
    <row r="583" spans="2:3" ht="13.2" x14ac:dyDescent="0.25">
      <c r="B583" s="106"/>
      <c r="C583" s="107"/>
    </row>
    <row r="584" spans="2:3" ht="13.2" x14ac:dyDescent="0.25">
      <c r="B584" s="106"/>
      <c r="C584" s="107"/>
    </row>
    <row r="585" spans="2:3" ht="13.2" x14ac:dyDescent="0.25">
      <c r="B585" s="106"/>
      <c r="C585" s="107"/>
    </row>
    <row r="586" spans="2:3" ht="13.2" x14ac:dyDescent="0.25">
      <c r="B586" s="106"/>
      <c r="C586" s="107"/>
    </row>
    <row r="587" spans="2:3" ht="13.2" x14ac:dyDescent="0.25">
      <c r="B587" s="106"/>
      <c r="C587" s="107"/>
    </row>
    <row r="588" spans="2:3" ht="13.2" x14ac:dyDescent="0.25">
      <c r="B588" s="106"/>
      <c r="C588" s="107"/>
    </row>
    <row r="589" spans="2:3" ht="13.2" x14ac:dyDescent="0.25">
      <c r="B589" s="106"/>
      <c r="C589" s="107"/>
    </row>
    <row r="590" spans="2:3" ht="13.2" x14ac:dyDescent="0.25">
      <c r="B590" s="106"/>
      <c r="C590" s="107"/>
    </row>
    <row r="591" spans="2:3" ht="13.2" x14ac:dyDescent="0.25">
      <c r="B591" s="106"/>
      <c r="C591" s="107"/>
    </row>
    <row r="592" spans="2:3" ht="13.2" x14ac:dyDescent="0.25">
      <c r="B592" s="106"/>
      <c r="C592" s="107"/>
    </row>
    <row r="593" spans="2:3" ht="13.2" x14ac:dyDescent="0.25">
      <c r="B593" s="106"/>
      <c r="C593" s="107"/>
    </row>
    <row r="594" spans="2:3" ht="13.2" x14ac:dyDescent="0.25">
      <c r="B594" s="106"/>
      <c r="C594" s="107"/>
    </row>
    <row r="595" spans="2:3" ht="13.2" x14ac:dyDescent="0.25">
      <c r="B595" s="106"/>
      <c r="C595" s="107"/>
    </row>
    <row r="596" spans="2:3" ht="13.2" x14ac:dyDescent="0.25">
      <c r="B596" s="106"/>
      <c r="C596" s="107"/>
    </row>
    <row r="597" spans="2:3" ht="13.2" x14ac:dyDescent="0.25">
      <c r="B597" s="106"/>
      <c r="C597" s="107"/>
    </row>
    <row r="598" spans="2:3" ht="13.2" x14ac:dyDescent="0.25">
      <c r="B598" s="106"/>
      <c r="C598" s="107"/>
    </row>
    <row r="599" spans="2:3" ht="13.2" x14ac:dyDescent="0.25">
      <c r="B599" s="106"/>
      <c r="C599" s="107"/>
    </row>
    <row r="600" spans="2:3" ht="13.2" x14ac:dyDescent="0.25">
      <c r="B600" s="106"/>
      <c r="C600" s="107"/>
    </row>
    <row r="601" spans="2:3" ht="13.2" x14ac:dyDescent="0.25">
      <c r="B601" s="106"/>
      <c r="C601" s="107"/>
    </row>
    <row r="602" spans="2:3" ht="13.2" x14ac:dyDescent="0.25">
      <c r="B602" s="106"/>
      <c r="C602" s="107"/>
    </row>
    <row r="603" spans="2:3" ht="13.2" x14ac:dyDescent="0.25">
      <c r="B603" s="106"/>
      <c r="C603" s="107"/>
    </row>
    <row r="604" spans="2:3" ht="13.2" x14ac:dyDescent="0.25">
      <c r="B604" s="106"/>
      <c r="C604" s="107"/>
    </row>
    <row r="605" spans="2:3" ht="13.2" x14ac:dyDescent="0.25">
      <c r="B605" s="106"/>
      <c r="C605" s="107"/>
    </row>
    <row r="606" spans="2:3" ht="13.2" x14ac:dyDescent="0.25">
      <c r="B606" s="106"/>
      <c r="C606" s="107"/>
    </row>
    <row r="607" spans="2:3" ht="13.2" x14ac:dyDescent="0.25">
      <c r="B607" s="106"/>
      <c r="C607" s="107"/>
    </row>
    <row r="608" spans="2:3" ht="13.2" x14ac:dyDescent="0.25">
      <c r="B608" s="106"/>
      <c r="C608" s="107"/>
    </row>
    <row r="609" spans="2:3" ht="13.2" x14ac:dyDescent="0.25">
      <c r="B609" s="106"/>
      <c r="C609" s="107"/>
    </row>
    <row r="610" spans="2:3" ht="13.2" x14ac:dyDescent="0.25">
      <c r="B610" s="106"/>
      <c r="C610" s="107"/>
    </row>
    <row r="611" spans="2:3" ht="13.2" x14ac:dyDescent="0.25">
      <c r="B611" s="106"/>
      <c r="C611" s="107"/>
    </row>
    <row r="612" spans="2:3" ht="13.2" x14ac:dyDescent="0.25">
      <c r="B612" s="106"/>
      <c r="C612" s="107"/>
    </row>
    <row r="613" spans="2:3" ht="13.2" x14ac:dyDescent="0.25">
      <c r="B613" s="106"/>
      <c r="C613" s="107"/>
    </row>
    <row r="614" spans="2:3" ht="13.2" x14ac:dyDescent="0.25">
      <c r="B614" s="106"/>
      <c r="C614" s="107"/>
    </row>
    <row r="615" spans="2:3" ht="13.2" x14ac:dyDescent="0.25">
      <c r="B615" s="106"/>
      <c r="C615" s="107"/>
    </row>
    <row r="616" spans="2:3" ht="13.2" x14ac:dyDescent="0.25">
      <c r="B616" s="106"/>
      <c r="C616" s="107"/>
    </row>
    <row r="617" spans="2:3" ht="13.2" x14ac:dyDescent="0.25">
      <c r="B617" s="106"/>
      <c r="C617" s="107"/>
    </row>
    <row r="618" spans="2:3" ht="13.2" x14ac:dyDescent="0.25">
      <c r="B618" s="106"/>
      <c r="C618" s="107"/>
    </row>
    <row r="619" spans="2:3" ht="13.2" x14ac:dyDescent="0.25">
      <c r="B619" s="106"/>
      <c r="C619" s="107"/>
    </row>
    <row r="620" spans="2:3" ht="13.2" x14ac:dyDescent="0.25">
      <c r="B620" s="106"/>
      <c r="C620" s="107"/>
    </row>
    <row r="621" spans="2:3" ht="13.2" x14ac:dyDescent="0.25">
      <c r="B621" s="106"/>
      <c r="C621" s="107"/>
    </row>
    <row r="622" spans="2:3" ht="13.2" x14ac:dyDescent="0.25">
      <c r="B622" s="106"/>
      <c r="C622" s="107"/>
    </row>
    <row r="623" spans="2:3" ht="13.2" x14ac:dyDescent="0.25">
      <c r="B623" s="106"/>
      <c r="C623" s="107"/>
    </row>
    <row r="624" spans="2:3" ht="13.2" x14ac:dyDescent="0.25">
      <c r="B624" s="106"/>
      <c r="C624" s="107"/>
    </row>
    <row r="625" spans="2:3" ht="13.2" x14ac:dyDescent="0.25">
      <c r="B625" s="106"/>
      <c r="C625" s="107"/>
    </row>
    <row r="626" spans="2:3" ht="13.2" x14ac:dyDescent="0.25">
      <c r="B626" s="106"/>
      <c r="C626" s="107"/>
    </row>
    <row r="627" spans="2:3" ht="13.2" x14ac:dyDescent="0.25">
      <c r="B627" s="106"/>
      <c r="C627" s="107"/>
    </row>
    <row r="628" spans="2:3" ht="13.2" x14ac:dyDescent="0.25">
      <c r="B628" s="106"/>
      <c r="C628" s="107"/>
    </row>
    <row r="629" spans="2:3" ht="13.2" x14ac:dyDescent="0.25">
      <c r="B629" s="106"/>
      <c r="C629" s="107"/>
    </row>
    <row r="630" spans="2:3" ht="13.2" x14ac:dyDescent="0.25">
      <c r="B630" s="106"/>
      <c r="C630" s="107"/>
    </row>
    <row r="631" spans="2:3" ht="13.2" x14ac:dyDescent="0.25">
      <c r="B631" s="106"/>
      <c r="C631" s="107"/>
    </row>
    <row r="632" spans="2:3" ht="13.2" x14ac:dyDescent="0.25">
      <c r="B632" s="106"/>
      <c r="C632" s="107"/>
    </row>
    <row r="633" spans="2:3" ht="13.2" x14ac:dyDescent="0.25">
      <c r="B633" s="106"/>
      <c r="C633" s="107"/>
    </row>
    <row r="634" spans="2:3" ht="13.2" x14ac:dyDescent="0.25">
      <c r="B634" s="106"/>
      <c r="C634" s="107"/>
    </row>
    <row r="635" spans="2:3" ht="13.2" x14ac:dyDescent="0.25">
      <c r="B635" s="106"/>
      <c r="C635" s="107"/>
    </row>
    <row r="636" spans="2:3" ht="13.2" x14ac:dyDescent="0.25">
      <c r="B636" s="106"/>
      <c r="C636" s="107"/>
    </row>
    <row r="637" spans="2:3" ht="13.2" x14ac:dyDescent="0.25">
      <c r="B637" s="106"/>
      <c r="C637" s="107"/>
    </row>
    <row r="638" spans="2:3" ht="13.2" x14ac:dyDescent="0.25">
      <c r="B638" s="106"/>
      <c r="C638" s="107"/>
    </row>
    <row r="639" spans="2:3" ht="13.2" x14ac:dyDescent="0.25">
      <c r="B639" s="106"/>
      <c r="C639" s="107"/>
    </row>
    <row r="640" spans="2:3" ht="13.2" x14ac:dyDescent="0.25">
      <c r="B640" s="106"/>
      <c r="C640" s="107"/>
    </row>
    <row r="641" spans="2:3" ht="13.2" x14ac:dyDescent="0.25">
      <c r="B641" s="106"/>
      <c r="C641" s="107"/>
    </row>
    <row r="642" spans="2:3" ht="13.2" x14ac:dyDescent="0.25">
      <c r="B642" s="106"/>
      <c r="C642" s="107"/>
    </row>
    <row r="643" spans="2:3" ht="13.2" x14ac:dyDescent="0.25">
      <c r="B643" s="106"/>
      <c r="C643" s="107"/>
    </row>
    <row r="644" spans="2:3" ht="13.2" x14ac:dyDescent="0.25">
      <c r="B644" s="106"/>
      <c r="C644" s="107"/>
    </row>
    <row r="645" spans="2:3" ht="13.2" x14ac:dyDescent="0.25">
      <c r="B645" s="106"/>
      <c r="C645" s="107"/>
    </row>
    <row r="646" spans="2:3" ht="13.2" x14ac:dyDescent="0.25">
      <c r="B646" s="106"/>
      <c r="C646" s="107"/>
    </row>
    <row r="647" spans="2:3" ht="13.2" x14ac:dyDescent="0.25">
      <c r="B647" s="106"/>
      <c r="C647" s="107"/>
    </row>
    <row r="648" spans="2:3" ht="13.2" x14ac:dyDescent="0.25">
      <c r="B648" s="106"/>
      <c r="C648" s="107"/>
    </row>
    <row r="649" spans="2:3" ht="13.2" x14ac:dyDescent="0.25">
      <c r="B649" s="106"/>
      <c r="C649" s="107"/>
    </row>
    <row r="650" spans="2:3" ht="13.2" x14ac:dyDescent="0.25">
      <c r="B650" s="106"/>
      <c r="C650" s="107"/>
    </row>
    <row r="651" spans="2:3" ht="13.2" x14ac:dyDescent="0.25">
      <c r="B651" s="106"/>
      <c r="C651" s="107"/>
    </row>
    <row r="652" spans="2:3" ht="13.2" x14ac:dyDescent="0.25">
      <c r="B652" s="106"/>
      <c r="C652" s="107"/>
    </row>
    <row r="653" spans="2:3" ht="13.2" x14ac:dyDescent="0.25">
      <c r="B653" s="106"/>
      <c r="C653" s="107"/>
    </row>
    <row r="654" spans="2:3" ht="13.2" x14ac:dyDescent="0.25">
      <c r="B654" s="106"/>
      <c r="C654" s="107"/>
    </row>
    <row r="655" spans="2:3" ht="13.2" x14ac:dyDescent="0.25">
      <c r="B655" s="106"/>
      <c r="C655" s="107"/>
    </row>
    <row r="656" spans="2:3" ht="13.2" x14ac:dyDescent="0.25">
      <c r="B656" s="106"/>
      <c r="C656" s="107"/>
    </row>
    <row r="657" spans="2:3" ht="13.2" x14ac:dyDescent="0.25">
      <c r="B657" s="106"/>
      <c r="C657" s="107"/>
    </row>
    <row r="658" spans="2:3" ht="13.2" x14ac:dyDescent="0.25">
      <c r="B658" s="106"/>
      <c r="C658" s="107"/>
    </row>
    <row r="659" spans="2:3" ht="13.2" x14ac:dyDescent="0.25">
      <c r="B659" s="106"/>
      <c r="C659" s="107"/>
    </row>
    <row r="660" spans="2:3" ht="13.2" x14ac:dyDescent="0.25">
      <c r="B660" s="106"/>
      <c r="C660" s="107"/>
    </row>
    <row r="661" spans="2:3" ht="13.2" x14ac:dyDescent="0.25">
      <c r="B661" s="106"/>
      <c r="C661" s="107"/>
    </row>
    <row r="662" spans="2:3" ht="13.2" x14ac:dyDescent="0.25">
      <c r="B662" s="106"/>
      <c r="C662" s="107"/>
    </row>
    <row r="663" spans="2:3" ht="13.2" x14ac:dyDescent="0.25">
      <c r="B663" s="106"/>
      <c r="C663" s="107"/>
    </row>
    <row r="664" spans="2:3" ht="13.2" x14ac:dyDescent="0.25">
      <c r="B664" s="106"/>
      <c r="C664" s="107"/>
    </row>
    <row r="665" spans="2:3" ht="13.2" x14ac:dyDescent="0.25">
      <c r="B665" s="106"/>
      <c r="C665" s="107"/>
    </row>
    <row r="666" spans="2:3" ht="13.2" x14ac:dyDescent="0.25">
      <c r="B666" s="106"/>
      <c r="C666" s="107"/>
    </row>
    <row r="667" spans="2:3" ht="13.2" x14ac:dyDescent="0.25">
      <c r="B667" s="106"/>
      <c r="C667" s="107"/>
    </row>
    <row r="668" spans="2:3" ht="13.2" x14ac:dyDescent="0.25">
      <c r="B668" s="106"/>
      <c r="C668" s="107"/>
    </row>
    <row r="669" spans="2:3" ht="13.2" x14ac:dyDescent="0.25">
      <c r="B669" s="106"/>
      <c r="C669" s="107"/>
    </row>
    <row r="670" spans="2:3" ht="13.2" x14ac:dyDescent="0.25">
      <c r="B670" s="106"/>
      <c r="C670" s="107"/>
    </row>
    <row r="671" spans="2:3" ht="13.2" x14ac:dyDescent="0.25">
      <c r="B671" s="106"/>
      <c r="C671" s="107"/>
    </row>
    <row r="672" spans="2:3" ht="13.2" x14ac:dyDescent="0.25">
      <c r="B672" s="106"/>
      <c r="C672" s="107"/>
    </row>
    <row r="673" spans="2:3" ht="13.2" x14ac:dyDescent="0.25">
      <c r="B673" s="106"/>
      <c r="C673" s="107"/>
    </row>
    <row r="674" spans="2:3" ht="13.2" x14ac:dyDescent="0.25">
      <c r="B674" s="106"/>
      <c r="C674" s="107"/>
    </row>
    <row r="675" spans="2:3" ht="13.2" x14ac:dyDescent="0.25">
      <c r="B675" s="106"/>
      <c r="C675" s="107"/>
    </row>
    <row r="676" spans="2:3" ht="13.2" x14ac:dyDescent="0.25">
      <c r="B676" s="106"/>
      <c r="C676" s="107"/>
    </row>
    <row r="677" spans="2:3" ht="13.2" x14ac:dyDescent="0.25">
      <c r="B677" s="106"/>
      <c r="C677" s="107"/>
    </row>
    <row r="678" spans="2:3" ht="13.2" x14ac:dyDescent="0.25">
      <c r="B678" s="106"/>
      <c r="C678" s="107"/>
    </row>
    <row r="679" spans="2:3" ht="13.2" x14ac:dyDescent="0.25">
      <c r="B679" s="106"/>
      <c r="C679" s="107"/>
    </row>
    <row r="680" spans="2:3" ht="13.2" x14ac:dyDescent="0.25">
      <c r="B680" s="106"/>
      <c r="C680" s="107"/>
    </row>
    <row r="681" spans="2:3" ht="13.2" x14ac:dyDescent="0.25">
      <c r="B681" s="106"/>
      <c r="C681" s="107"/>
    </row>
    <row r="682" spans="2:3" ht="13.2" x14ac:dyDescent="0.25">
      <c r="B682" s="106"/>
      <c r="C682" s="107"/>
    </row>
    <row r="683" spans="2:3" ht="13.2" x14ac:dyDescent="0.25">
      <c r="B683" s="106"/>
      <c r="C683" s="107"/>
    </row>
    <row r="684" spans="2:3" ht="13.2" x14ac:dyDescent="0.25">
      <c r="B684" s="106"/>
      <c r="C684" s="107"/>
    </row>
    <row r="685" spans="2:3" ht="13.2" x14ac:dyDescent="0.25">
      <c r="B685" s="106"/>
      <c r="C685" s="107"/>
    </row>
    <row r="686" spans="2:3" ht="13.2" x14ac:dyDescent="0.25">
      <c r="B686" s="106"/>
      <c r="C686" s="107"/>
    </row>
    <row r="687" spans="2:3" ht="13.2" x14ac:dyDescent="0.25">
      <c r="B687" s="106"/>
      <c r="C687" s="107"/>
    </row>
    <row r="688" spans="2:3" ht="13.2" x14ac:dyDescent="0.25">
      <c r="B688" s="106"/>
      <c r="C688" s="107"/>
    </row>
    <row r="689" spans="2:3" ht="13.2" x14ac:dyDescent="0.25">
      <c r="B689" s="106"/>
      <c r="C689" s="107"/>
    </row>
    <row r="690" spans="2:3" ht="13.2" x14ac:dyDescent="0.25">
      <c r="B690" s="106"/>
      <c r="C690" s="107"/>
    </row>
    <row r="691" spans="2:3" ht="13.2" x14ac:dyDescent="0.25">
      <c r="B691" s="106"/>
      <c r="C691" s="107"/>
    </row>
    <row r="692" spans="2:3" ht="13.2" x14ac:dyDescent="0.25">
      <c r="B692" s="106"/>
      <c r="C692" s="107"/>
    </row>
    <row r="693" spans="2:3" ht="13.2" x14ac:dyDescent="0.25">
      <c r="B693" s="106"/>
      <c r="C693" s="107"/>
    </row>
    <row r="694" spans="2:3" ht="13.2" x14ac:dyDescent="0.25">
      <c r="B694" s="106"/>
      <c r="C694" s="107"/>
    </row>
    <row r="695" spans="2:3" ht="13.2" x14ac:dyDescent="0.25">
      <c r="B695" s="106"/>
      <c r="C695" s="107"/>
    </row>
    <row r="696" spans="2:3" ht="13.2" x14ac:dyDescent="0.25">
      <c r="B696" s="106"/>
      <c r="C696" s="107"/>
    </row>
    <row r="697" spans="2:3" ht="13.2" x14ac:dyDescent="0.25">
      <c r="B697" s="106"/>
      <c r="C697" s="107"/>
    </row>
    <row r="698" spans="2:3" ht="13.2" x14ac:dyDescent="0.25">
      <c r="B698" s="106"/>
      <c r="C698" s="107"/>
    </row>
    <row r="699" spans="2:3" ht="13.2" x14ac:dyDescent="0.25">
      <c r="B699" s="106"/>
      <c r="C699" s="107"/>
    </row>
    <row r="700" spans="2:3" ht="13.2" x14ac:dyDescent="0.25">
      <c r="B700" s="106"/>
      <c r="C700" s="107"/>
    </row>
    <row r="701" spans="2:3" ht="13.2" x14ac:dyDescent="0.25">
      <c r="B701" s="106"/>
      <c r="C701" s="107"/>
    </row>
    <row r="702" spans="2:3" ht="13.2" x14ac:dyDescent="0.25">
      <c r="B702" s="106"/>
      <c r="C702" s="107"/>
    </row>
    <row r="703" spans="2:3" ht="13.2" x14ac:dyDescent="0.25">
      <c r="B703" s="106"/>
      <c r="C703" s="107"/>
    </row>
    <row r="704" spans="2:3" ht="13.2" x14ac:dyDescent="0.25">
      <c r="B704" s="106"/>
      <c r="C704" s="107"/>
    </row>
    <row r="705" spans="2:3" ht="13.2" x14ac:dyDescent="0.25">
      <c r="B705" s="106"/>
      <c r="C705" s="107"/>
    </row>
    <row r="706" spans="2:3" ht="13.2" x14ac:dyDescent="0.25">
      <c r="B706" s="106"/>
      <c r="C706" s="107"/>
    </row>
    <row r="707" spans="2:3" ht="13.2" x14ac:dyDescent="0.25">
      <c r="B707" s="106"/>
      <c r="C707" s="107"/>
    </row>
    <row r="708" spans="2:3" ht="13.2" x14ac:dyDescent="0.25">
      <c r="B708" s="106"/>
      <c r="C708" s="107"/>
    </row>
    <row r="709" spans="2:3" ht="13.2" x14ac:dyDescent="0.25">
      <c r="B709" s="106"/>
      <c r="C709" s="107"/>
    </row>
    <row r="710" spans="2:3" ht="13.2" x14ac:dyDescent="0.25">
      <c r="B710" s="106"/>
      <c r="C710" s="107"/>
    </row>
    <row r="711" spans="2:3" ht="13.2" x14ac:dyDescent="0.25">
      <c r="B711" s="106"/>
      <c r="C711" s="107"/>
    </row>
    <row r="712" spans="2:3" ht="13.2" x14ac:dyDescent="0.25">
      <c r="B712" s="106"/>
      <c r="C712" s="107"/>
    </row>
    <row r="713" spans="2:3" ht="13.2" x14ac:dyDescent="0.25">
      <c r="B713" s="106"/>
      <c r="C713" s="107"/>
    </row>
    <row r="714" spans="2:3" ht="13.2" x14ac:dyDescent="0.25">
      <c r="B714" s="106"/>
      <c r="C714" s="107"/>
    </row>
    <row r="715" spans="2:3" ht="13.2" x14ac:dyDescent="0.25">
      <c r="B715" s="106"/>
      <c r="C715" s="107"/>
    </row>
    <row r="716" spans="2:3" ht="13.2" x14ac:dyDescent="0.25">
      <c r="B716" s="106"/>
      <c r="C716" s="107"/>
    </row>
    <row r="717" spans="2:3" ht="13.2" x14ac:dyDescent="0.25">
      <c r="B717" s="106"/>
      <c r="C717" s="107"/>
    </row>
    <row r="718" spans="2:3" ht="13.2" x14ac:dyDescent="0.25">
      <c r="B718" s="106"/>
      <c r="C718" s="107"/>
    </row>
    <row r="719" spans="2:3" ht="13.2" x14ac:dyDescent="0.25">
      <c r="B719" s="106"/>
      <c r="C719" s="107"/>
    </row>
    <row r="720" spans="2:3" ht="13.2" x14ac:dyDescent="0.25">
      <c r="B720" s="106"/>
      <c r="C720" s="107"/>
    </row>
    <row r="721" spans="2:3" ht="13.2" x14ac:dyDescent="0.25">
      <c r="B721" s="106"/>
      <c r="C721" s="107"/>
    </row>
    <row r="722" spans="2:3" ht="13.2" x14ac:dyDescent="0.25">
      <c r="B722" s="106"/>
      <c r="C722" s="107"/>
    </row>
    <row r="723" spans="2:3" ht="13.2" x14ac:dyDescent="0.25">
      <c r="B723" s="106"/>
      <c r="C723" s="107"/>
    </row>
    <row r="724" spans="2:3" ht="13.2" x14ac:dyDescent="0.25">
      <c r="B724" s="106"/>
      <c r="C724" s="107"/>
    </row>
    <row r="725" spans="2:3" ht="13.2" x14ac:dyDescent="0.25">
      <c r="B725" s="106"/>
      <c r="C725" s="107"/>
    </row>
    <row r="726" spans="2:3" ht="13.2" x14ac:dyDescent="0.25">
      <c r="B726" s="106"/>
      <c r="C726" s="107"/>
    </row>
    <row r="727" spans="2:3" ht="13.2" x14ac:dyDescent="0.25">
      <c r="B727" s="106"/>
      <c r="C727" s="107"/>
    </row>
    <row r="728" spans="2:3" ht="13.2" x14ac:dyDescent="0.25">
      <c r="B728" s="106"/>
      <c r="C728" s="107"/>
    </row>
    <row r="729" spans="2:3" ht="13.2" x14ac:dyDescent="0.25">
      <c r="B729" s="106"/>
      <c r="C729" s="107"/>
    </row>
    <row r="730" spans="2:3" ht="13.2" x14ac:dyDescent="0.25">
      <c r="B730" s="106"/>
      <c r="C730" s="107"/>
    </row>
    <row r="731" spans="2:3" ht="13.2" x14ac:dyDescent="0.25">
      <c r="B731" s="106"/>
      <c r="C731" s="107"/>
    </row>
    <row r="732" spans="2:3" ht="13.2" x14ac:dyDescent="0.25">
      <c r="B732" s="106"/>
      <c r="C732" s="107"/>
    </row>
    <row r="733" spans="2:3" ht="13.2" x14ac:dyDescent="0.25">
      <c r="B733" s="106"/>
      <c r="C733" s="107"/>
    </row>
    <row r="734" spans="2:3" ht="13.2" x14ac:dyDescent="0.25">
      <c r="B734" s="106"/>
      <c r="C734" s="107"/>
    </row>
    <row r="735" spans="2:3" ht="13.2" x14ac:dyDescent="0.25">
      <c r="B735" s="106"/>
      <c r="C735" s="107"/>
    </row>
    <row r="736" spans="2:3" ht="13.2" x14ac:dyDescent="0.25">
      <c r="B736" s="106"/>
      <c r="C736" s="107"/>
    </row>
    <row r="737" spans="2:3" ht="13.2" x14ac:dyDescent="0.25">
      <c r="B737" s="106"/>
      <c r="C737" s="107"/>
    </row>
    <row r="738" spans="2:3" ht="13.2" x14ac:dyDescent="0.25">
      <c r="B738" s="106"/>
      <c r="C738" s="107"/>
    </row>
    <row r="739" spans="2:3" ht="13.2" x14ac:dyDescent="0.25">
      <c r="B739" s="106"/>
      <c r="C739" s="107"/>
    </row>
    <row r="740" spans="2:3" ht="13.2" x14ac:dyDescent="0.25">
      <c r="B740" s="106"/>
      <c r="C740" s="107"/>
    </row>
    <row r="741" spans="2:3" ht="13.2" x14ac:dyDescent="0.25">
      <c r="B741" s="106"/>
      <c r="C741" s="107"/>
    </row>
    <row r="742" spans="2:3" ht="13.2" x14ac:dyDescent="0.25">
      <c r="B742" s="106"/>
      <c r="C742" s="107"/>
    </row>
    <row r="743" spans="2:3" ht="13.2" x14ac:dyDescent="0.25">
      <c r="B743" s="106"/>
      <c r="C743" s="107"/>
    </row>
    <row r="744" spans="2:3" ht="13.2" x14ac:dyDescent="0.25">
      <c r="B744" s="106"/>
      <c r="C744" s="107"/>
    </row>
    <row r="745" spans="2:3" ht="13.2" x14ac:dyDescent="0.25">
      <c r="B745" s="106"/>
      <c r="C745" s="107"/>
    </row>
    <row r="746" spans="2:3" ht="13.2" x14ac:dyDescent="0.25">
      <c r="B746" s="106"/>
      <c r="C746" s="107"/>
    </row>
    <row r="747" spans="2:3" ht="13.2" x14ac:dyDescent="0.25">
      <c r="B747" s="106"/>
      <c r="C747" s="107"/>
    </row>
    <row r="748" spans="2:3" ht="13.2" x14ac:dyDescent="0.25">
      <c r="B748" s="106"/>
      <c r="C748" s="107"/>
    </row>
    <row r="749" spans="2:3" ht="13.2" x14ac:dyDescent="0.25">
      <c r="B749" s="106"/>
      <c r="C749" s="107"/>
    </row>
    <row r="750" spans="2:3" ht="13.2" x14ac:dyDescent="0.25">
      <c r="B750" s="106"/>
      <c r="C750" s="107"/>
    </row>
    <row r="751" spans="2:3" ht="13.2" x14ac:dyDescent="0.25">
      <c r="B751" s="106"/>
      <c r="C751" s="107"/>
    </row>
    <row r="752" spans="2:3" ht="13.2" x14ac:dyDescent="0.25">
      <c r="B752" s="106"/>
      <c r="C752" s="107"/>
    </row>
    <row r="753" spans="2:3" ht="13.2" x14ac:dyDescent="0.25">
      <c r="B753" s="106"/>
      <c r="C753" s="107"/>
    </row>
    <row r="754" spans="2:3" ht="13.2" x14ac:dyDescent="0.25">
      <c r="B754" s="106"/>
      <c r="C754" s="107"/>
    </row>
    <row r="755" spans="2:3" ht="13.2" x14ac:dyDescent="0.25">
      <c r="B755" s="106"/>
      <c r="C755" s="107"/>
    </row>
    <row r="756" spans="2:3" ht="13.2" x14ac:dyDescent="0.25">
      <c r="B756" s="106"/>
      <c r="C756" s="107"/>
    </row>
    <row r="757" spans="2:3" ht="13.2" x14ac:dyDescent="0.25">
      <c r="B757" s="106"/>
      <c r="C757" s="107"/>
    </row>
    <row r="758" spans="2:3" ht="13.2" x14ac:dyDescent="0.25">
      <c r="B758" s="106"/>
      <c r="C758" s="107"/>
    </row>
    <row r="759" spans="2:3" ht="13.2" x14ac:dyDescent="0.25">
      <c r="B759" s="106"/>
      <c r="C759" s="107"/>
    </row>
    <row r="760" spans="2:3" ht="13.2" x14ac:dyDescent="0.25">
      <c r="B760" s="106"/>
      <c r="C760" s="107"/>
    </row>
    <row r="761" spans="2:3" ht="13.2" x14ac:dyDescent="0.25">
      <c r="B761" s="106"/>
      <c r="C761" s="107"/>
    </row>
    <row r="762" spans="2:3" ht="13.2" x14ac:dyDescent="0.25">
      <c r="B762" s="106"/>
      <c r="C762" s="107"/>
    </row>
    <row r="763" spans="2:3" ht="13.2" x14ac:dyDescent="0.25">
      <c r="B763" s="106"/>
      <c r="C763" s="107"/>
    </row>
    <row r="764" spans="2:3" ht="13.2" x14ac:dyDescent="0.25">
      <c r="B764" s="106"/>
      <c r="C764" s="107"/>
    </row>
    <row r="765" spans="2:3" ht="13.2" x14ac:dyDescent="0.25">
      <c r="B765" s="106"/>
      <c r="C765" s="107"/>
    </row>
    <row r="766" spans="2:3" ht="13.2" x14ac:dyDescent="0.25">
      <c r="B766" s="106"/>
      <c r="C766" s="107"/>
    </row>
    <row r="767" spans="2:3" ht="13.2" x14ac:dyDescent="0.25">
      <c r="B767" s="106"/>
      <c r="C767" s="107"/>
    </row>
    <row r="768" spans="2:3" ht="13.2" x14ac:dyDescent="0.25">
      <c r="B768" s="106"/>
      <c r="C768" s="107"/>
    </row>
    <row r="769" spans="2:3" ht="13.2" x14ac:dyDescent="0.25">
      <c r="B769" s="106"/>
      <c r="C769" s="107"/>
    </row>
    <row r="770" spans="2:3" ht="13.2" x14ac:dyDescent="0.25">
      <c r="B770" s="106"/>
      <c r="C770" s="107"/>
    </row>
    <row r="771" spans="2:3" ht="13.2" x14ac:dyDescent="0.25">
      <c r="B771" s="106"/>
      <c r="C771" s="107"/>
    </row>
    <row r="772" spans="2:3" ht="13.2" x14ac:dyDescent="0.25">
      <c r="B772" s="106"/>
      <c r="C772" s="107"/>
    </row>
    <row r="773" spans="2:3" ht="13.2" x14ac:dyDescent="0.25">
      <c r="B773" s="106"/>
      <c r="C773" s="107"/>
    </row>
    <row r="774" spans="2:3" ht="13.2" x14ac:dyDescent="0.25">
      <c r="B774" s="106"/>
      <c r="C774" s="107"/>
    </row>
    <row r="775" spans="2:3" ht="13.2" x14ac:dyDescent="0.25">
      <c r="B775" s="106"/>
      <c r="C775" s="107"/>
    </row>
    <row r="776" spans="2:3" ht="13.2" x14ac:dyDescent="0.25">
      <c r="B776" s="106"/>
      <c r="C776" s="107"/>
    </row>
    <row r="777" spans="2:3" ht="13.2" x14ac:dyDescent="0.25">
      <c r="B777" s="106"/>
      <c r="C777" s="107"/>
    </row>
    <row r="778" spans="2:3" ht="13.2" x14ac:dyDescent="0.25">
      <c r="B778" s="106"/>
      <c r="C778" s="107"/>
    </row>
    <row r="779" spans="2:3" ht="13.2" x14ac:dyDescent="0.25">
      <c r="B779" s="106"/>
      <c r="C779" s="107"/>
    </row>
    <row r="780" spans="2:3" ht="13.2" x14ac:dyDescent="0.25">
      <c r="B780" s="106"/>
      <c r="C780" s="107"/>
    </row>
    <row r="781" spans="2:3" ht="13.2" x14ac:dyDescent="0.25">
      <c r="B781" s="106"/>
      <c r="C781" s="107"/>
    </row>
    <row r="782" spans="2:3" ht="13.2" x14ac:dyDescent="0.25">
      <c r="B782" s="106"/>
      <c r="C782" s="107"/>
    </row>
    <row r="783" spans="2:3" ht="13.2" x14ac:dyDescent="0.25">
      <c r="B783" s="106"/>
      <c r="C783" s="107"/>
    </row>
    <row r="784" spans="2:3" ht="13.2" x14ac:dyDescent="0.25">
      <c r="B784" s="106"/>
      <c r="C784" s="107"/>
    </row>
    <row r="785" spans="2:3" ht="13.2" x14ac:dyDescent="0.25">
      <c r="B785" s="106"/>
      <c r="C785" s="107"/>
    </row>
    <row r="786" spans="2:3" ht="13.2" x14ac:dyDescent="0.25">
      <c r="B786" s="106"/>
      <c r="C786" s="107"/>
    </row>
    <row r="787" spans="2:3" ht="13.2" x14ac:dyDescent="0.25">
      <c r="B787" s="106"/>
      <c r="C787" s="107"/>
    </row>
    <row r="788" spans="2:3" ht="13.2" x14ac:dyDescent="0.25">
      <c r="B788" s="106"/>
      <c r="C788" s="107"/>
    </row>
    <row r="789" spans="2:3" ht="13.2" x14ac:dyDescent="0.25">
      <c r="B789" s="106"/>
      <c r="C789" s="107"/>
    </row>
    <row r="790" spans="2:3" ht="13.2" x14ac:dyDescent="0.25">
      <c r="B790" s="106"/>
      <c r="C790" s="107"/>
    </row>
    <row r="791" spans="2:3" ht="13.2" x14ac:dyDescent="0.25">
      <c r="B791" s="106"/>
      <c r="C791" s="107"/>
    </row>
    <row r="792" spans="2:3" ht="13.2" x14ac:dyDescent="0.25">
      <c r="B792" s="106"/>
      <c r="C792" s="107"/>
    </row>
    <row r="793" spans="2:3" ht="13.2" x14ac:dyDescent="0.25">
      <c r="B793" s="106"/>
      <c r="C793" s="107"/>
    </row>
    <row r="794" spans="2:3" ht="13.2" x14ac:dyDescent="0.25">
      <c r="B794" s="106"/>
      <c r="C794" s="107"/>
    </row>
    <row r="795" spans="2:3" ht="13.2" x14ac:dyDescent="0.25">
      <c r="B795" s="106"/>
      <c r="C795" s="107"/>
    </row>
    <row r="796" spans="2:3" ht="13.2" x14ac:dyDescent="0.25">
      <c r="B796" s="106"/>
      <c r="C796" s="107"/>
    </row>
    <row r="797" spans="2:3" ht="13.2" x14ac:dyDescent="0.25">
      <c r="B797" s="106"/>
      <c r="C797" s="107"/>
    </row>
    <row r="798" spans="2:3" ht="13.2" x14ac:dyDescent="0.25">
      <c r="B798" s="106"/>
      <c r="C798" s="107"/>
    </row>
    <row r="799" spans="2:3" ht="13.2" x14ac:dyDescent="0.25">
      <c r="B799" s="106"/>
      <c r="C799" s="107"/>
    </row>
    <row r="800" spans="2:3" ht="13.2" x14ac:dyDescent="0.25">
      <c r="B800" s="106"/>
      <c r="C800" s="107"/>
    </row>
    <row r="801" spans="2:3" ht="13.2" x14ac:dyDescent="0.25">
      <c r="B801" s="106"/>
      <c r="C801" s="107"/>
    </row>
    <row r="802" spans="2:3" ht="13.2" x14ac:dyDescent="0.25">
      <c r="B802" s="106"/>
      <c r="C802" s="107"/>
    </row>
    <row r="803" spans="2:3" ht="13.2" x14ac:dyDescent="0.25">
      <c r="B803" s="106"/>
      <c r="C803" s="107"/>
    </row>
    <row r="804" spans="2:3" ht="13.2" x14ac:dyDescent="0.25">
      <c r="B804" s="106"/>
      <c r="C804" s="107"/>
    </row>
    <row r="805" spans="2:3" ht="13.2" x14ac:dyDescent="0.25">
      <c r="B805" s="106"/>
      <c r="C805" s="107"/>
    </row>
    <row r="806" spans="2:3" ht="13.2" x14ac:dyDescent="0.25">
      <c r="B806" s="106"/>
      <c r="C806" s="107"/>
    </row>
    <row r="807" spans="2:3" ht="13.2" x14ac:dyDescent="0.25">
      <c r="B807" s="106"/>
      <c r="C807" s="107"/>
    </row>
    <row r="808" spans="2:3" ht="13.2" x14ac:dyDescent="0.25">
      <c r="B808" s="106"/>
      <c r="C808" s="107"/>
    </row>
    <row r="809" spans="2:3" ht="13.2" x14ac:dyDescent="0.25">
      <c r="B809" s="106"/>
      <c r="C809" s="107"/>
    </row>
    <row r="810" spans="2:3" ht="13.2" x14ac:dyDescent="0.25">
      <c r="B810" s="106"/>
      <c r="C810" s="107"/>
    </row>
    <row r="811" spans="2:3" ht="13.2" x14ac:dyDescent="0.25">
      <c r="B811" s="106"/>
      <c r="C811" s="107"/>
    </row>
    <row r="812" spans="2:3" ht="13.2" x14ac:dyDescent="0.25">
      <c r="B812" s="106"/>
      <c r="C812" s="107"/>
    </row>
    <row r="813" spans="2:3" ht="13.2" x14ac:dyDescent="0.25">
      <c r="B813" s="106"/>
      <c r="C813" s="107"/>
    </row>
    <row r="814" spans="2:3" ht="13.2" x14ac:dyDescent="0.25">
      <c r="B814" s="106"/>
      <c r="C814" s="107"/>
    </row>
    <row r="815" spans="2:3" ht="13.2" x14ac:dyDescent="0.25">
      <c r="B815" s="106"/>
      <c r="C815" s="107"/>
    </row>
    <row r="816" spans="2:3" ht="13.2" x14ac:dyDescent="0.25">
      <c r="B816" s="106"/>
      <c r="C816" s="107"/>
    </row>
    <row r="817" spans="2:3" ht="13.2" x14ac:dyDescent="0.25">
      <c r="B817" s="106"/>
      <c r="C817" s="107"/>
    </row>
    <row r="818" spans="2:3" ht="13.2" x14ac:dyDescent="0.25">
      <c r="B818" s="106"/>
      <c r="C818" s="107"/>
    </row>
    <row r="819" spans="2:3" ht="13.2" x14ac:dyDescent="0.25">
      <c r="B819" s="106"/>
      <c r="C819" s="107"/>
    </row>
    <row r="820" spans="2:3" ht="13.2" x14ac:dyDescent="0.25">
      <c r="B820" s="106"/>
      <c r="C820" s="107"/>
    </row>
    <row r="821" spans="2:3" ht="13.2" x14ac:dyDescent="0.25">
      <c r="B821" s="106"/>
      <c r="C821" s="107"/>
    </row>
    <row r="822" spans="2:3" ht="13.2" x14ac:dyDescent="0.25">
      <c r="B822" s="106"/>
      <c r="C822" s="107"/>
    </row>
    <row r="823" spans="2:3" ht="13.2" x14ac:dyDescent="0.25">
      <c r="B823" s="106"/>
      <c r="C823" s="107"/>
    </row>
    <row r="824" spans="2:3" ht="13.2" x14ac:dyDescent="0.25">
      <c r="B824" s="106"/>
      <c r="C824" s="107"/>
    </row>
    <row r="825" spans="2:3" ht="13.2" x14ac:dyDescent="0.25">
      <c r="B825" s="106"/>
      <c r="C825" s="107"/>
    </row>
    <row r="826" spans="2:3" ht="13.2" x14ac:dyDescent="0.25">
      <c r="B826" s="106"/>
      <c r="C826" s="107"/>
    </row>
    <row r="827" spans="2:3" ht="13.2" x14ac:dyDescent="0.25">
      <c r="B827" s="106"/>
      <c r="C827" s="107"/>
    </row>
    <row r="828" spans="2:3" ht="13.2" x14ac:dyDescent="0.25">
      <c r="B828" s="106"/>
      <c r="C828" s="107"/>
    </row>
    <row r="829" spans="2:3" ht="13.2" x14ac:dyDescent="0.25">
      <c r="B829" s="106"/>
      <c r="C829" s="107"/>
    </row>
    <row r="830" spans="2:3" ht="13.2" x14ac:dyDescent="0.25">
      <c r="B830" s="106"/>
      <c r="C830" s="107"/>
    </row>
    <row r="831" spans="2:3" ht="13.2" x14ac:dyDescent="0.25">
      <c r="B831" s="106"/>
      <c r="C831" s="107"/>
    </row>
    <row r="832" spans="2:3" ht="13.2" x14ac:dyDescent="0.25">
      <c r="B832" s="106"/>
      <c r="C832" s="107"/>
    </row>
    <row r="833" spans="2:3" ht="13.2" x14ac:dyDescent="0.25">
      <c r="B833" s="106"/>
      <c r="C833" s="107"/>
    </row>
    <row r="834" spans="2:3" ht="13.2" x14ac:dyDescent="0.25">
      <c r="B834" s="106"/>
      <c r="C834" s="107"/>
    </row>
    <row r="835" spans="2:3" ht="13.2" x14ac:dyDescent="0.25">
      <c r="B835" s="106"/>
      <c r="C835" s="107"/>
    </row>
    <row r="836" spans="2:3" ht="13.2" x14ac:dyDescent="0.25">
      <c r="B836" s="106"/>
      <c r="C836" s="107"/>
    </row>
    <row r="837" spans="2:3" ht="13.2" x14ac:dyDescent="0.25">
      <c r="B837" s="106"/>
      <c r="C837" s="107"/>
    </row>
    <row r="838" spans="2:3" ht="13.2" x14ac:dyDescent="0.25">
      <c r="B838" s="106"/>
      <c r="C838" s="107"/>
    </row>
    <row r="839" spans="2:3" ht="13.2" x14ac:dyDescent="0.25">
      <c r="B839" s="106"/>
      <c r="C839" s="107"/>
    </row>
    <row r="840" spans="2:3" ht="13.2" x14ac:dyDescent="0.25">
      <c r="B840" s="106"/>
      <c r="C840" s="107"/>
    </row>
    <row r="841" spans="2:3" ht="13.2" x14ac:dyDescent="0.25">
      <c r="B841" s="106"/>
      <c r="C841" s="107"/>
    </row>
    <row r="842" spans="2:3" ht="13.2" x14ac:dyDescent="0.25">
      <c r="B842" s="106"/>
      <c r="C842" s="107"/>
    </row>
    <row r="843" spans="2:3" ht="13.2" x14ac:dyDescent="0.25">
      <c r="B843" s="106"/>
      <c r="C843" s="107"/>
    </row>
    <row r="844" spans="2:3" ht="13.2" x14ac:dyDescent="0.25">
      <c r="B844" s="106"/>
      <c r="C844" s="107"/>
    </row>
    <row r="845" spans="2:3" ht="13.2" x14ac:dyDescent="0.25">
      <c r="B845" s="106"/>
      <c r="C845" s="107"/>
    </row>
    <row r="846" spans="2:3" ht="13.2" x14ac:dyDescent="0.25">
      <c r="B846" s="106"/>
      <c r="C846" s="107"/>
    </row>
    <row r="847" spans="2:3" ht="13.2" x14ac:dyDescent="0.25">
      <c r="B847" s="106"/>
      <c r="C847" s="107"/>
    </row>
    <row r="848" spans="2:3" ht="13.2" x14ac:dyDescent="0.25">
      <c r="B848" s="106"/>
      <c r="C848" s="107"/>
    </row>
    <row r="849" spans="2:3" ht="13.2" x14ac:dyDescent="0.25">
      <c r="B849" s="106"/>
      <c r="C849" s="107"/>
    </row>
    <row r="850" spans="2:3" ht="13.2" x14ac:dyDescent="0.25">
      <c r="B850" s="106"/>
      <c r="C850" s="107"/>
    </row>
    <row r="851" spans="2:3" ht="13.2" x14ac:dyDescent="0.25">
      <c r="B851" s="106"/>
      <c r="C851" s="107"/>
    </row>
    <row r="852" spans="2:3" ht="13.2" x14ac:dyDescent="0.25">
      <c r="B852" s="106"/>
      <c r="C852" s="107"/>
    </row>
    <row r="853" spans="2:3" ht="13.2" x14ac:dyDescent="0.25">
      <c r="B853" s="106"/>
      <c r="C853" s="107"/>
    </row>
    <row r="854" spans="2:3" ht="13.2" x14ac:dyDescent="0.25">
      <c r="B854" s="106"/>
      <c r="C854" s="107"/>
    </row>
    <row r="855" spans="2:3" ht="13.2" x14ac:dyDescent="0.25">
      <c r="B855" s="106"/>
      <c r="C855" s="107"/>
    </row>
    <row r="856" spans="2:3" ht="13.2" x14ac:dyDescent="0.25">
      <c r="B856" s="106"/>
      <c r="C856" s="107"/>
    </row>
    <row r="857" spans="2:3" ht="13.2" x14ac:dyDescent="0.25">
      <c r="B857" s="106"/>
      <c r="C857" s="107"/>
    </row>
    <row r="858" spans="2:3" ht="13.2" x14ac:dyDescent="0.25">
      <c r="B858" s="106"/>
      <c r="C858" s="107"/>
    </row>
    <row r="859" spans="2:3" ht="13.2" x14ac:dyDescent="0.25">
      <c r="B859" s="106"/>
      <c r="C859" s="107"/>
    </row>
    <row r="860" spans="2:3" ht="13.2" x14ac:dyDescent="0.25">
      <c r="B860" s="106"/>
      <c r="C860" s="107"/>
    </row>
    <row r="861" spans="2:3" ht="13.2" x14ac:dyDescent="0.25">
      <c r="B861" s="106"/>
      <c r="C861" s="107"/>
    </row>
    <row r="862" spans="2:3" ht="13.2" x14ac:dyDescent="0.25">
      <c r="B862" s="106"/>
      <c r="C862" s="107"/>
    </row>
    <row r="863" spans="2:3" ht="13.2" x14ac:dyDescent="0.25">
      <c r="B863" s="106"/>
      <c r="C863" s="107"/>
    </row>
    <row r="864" spans="2:3" ht="13.2" x14ac:dyDescent="0.25">
      <c r="B864" s="106"/>
      <c r="C864" s="107"/>
    </row>
    <row r="865" spans="2:3" ht="13.2" x14ac:dyDescent="0.25">
      <c r="B865" s="106"/>
      <c r="C865" s="107"/>
    </row>
    <row r="866" spans="2:3" ht="13.2" x14ac:dyDescent="0.25">
      <c r="B866" s="106"/>
      <c r="C866" s="107"/>
    </row>
    <row r="867" spans="2:3" ht="13.2" x14ac:dyDescent="0.25">
      <c r="B867" s="106"/>
      <c r="C867" s="107"/>
    </row>
    <row r="868" spans="2:3" ht="13.2" x14ac:dyDescent="0.25">
      <c r="B868" s="106"/>
      <c r="C868" s="107"/>
    </row>
    <row r="869" spans="2:3" ht="13.2" x14ac:dyDescent="0.25">
      <c r="B869" s="106"/>
      <c r="C869" s="107"/>
    </row>
    <row r="870" spans="2:3" ht="13.2" x14ac:dyDescent="0.25">
      <c r="B870" s="106"/>
      <c r="C870" s="107"/>
    </row>
    <row r="871" spans="2:3" ht="13.2" x14ac:dyDescent="0.25">
      <c r="B871" s="106"/>
      <c r="C871" s="107"/>
    </row>
    <row r="872" spans="2:3" ht="13.2" x14ac:dyDescent="0.25">
      <c r="B872" s="106"/>
      <c r="C872" s="107"/>
    </row>
    <row r="873" spans="2:3" ht="13.2" x14ac:dyDescent="0.25">
      <c r="B873" s="106"/>
      <c r="C873" s="107"/>
    </row>
    <row r="874" spans="2:3" ht="13.2" x14ac:dyDescent="0.25">
      <c r="B874" s="106"/>
      <c r="C874" s="107"/>
    </row>
    <row r="875" spans="2:3" ht="13.2" x14ac:dyDescent="0.25">
      <c r="B875" s="106"/>
      <c r="C875" s="107"/>
    </row>
    <row r="876" spans="2:3" ht="13.2" x14ac:dyDescent="0.25">
      <c r="B876" s="106"/>
      <c r="C876" s="107"/>
    </row>
    <row r="877" spans="2:3" ht="13.2" x14ac:dyDescent="0.25">
      <c r="B877" s="106"/>
      <c r="C877" s="107"/>
    </row>
    <row r="878" spans="2:3" ht="13.2" x14ac:dyDescent="0.25">
      <c r="B878" s="106"/>
      <c r="C878" s="107"/>
    </row>
    <row r="879" spans="2:3" ht="13.2" x14ac:dyDescent="0.25">
      <c r="B879" s="106"/>
      <c r="C879" s="107"/>
    </row>
    <row r="880" spans="2:3" ht="13.2" x14ac:dyDescent="0.25">
      <c r="B880" s="106"/>
      <c r="C880" s="107"/>
    </row>
    <row r="881" spans="2:3" ht="13.2" x14ac:dyDescent="0.25">
      <c r="B881" s="106"/>
      <c r="C881" s="107"/>
    </row>
    <row r="882" spans="2:3" ht="13.2" x14ac:dyDescent="0.25">
      <c r="B882" s="106"/>
      <c r="C882" s="107"/>
    </row>
    <row r="883" spans="2:3" ht="13.2" x14ac:dyDescent="0.25">
      <c r="B883" s="106"/>
      <c r="C883" s="107"/>
    </row>
    <row r="884" spans="2:3" ht="13.2" x14ac:dyDescent="0.25">
      <c r="B884" s="106"/>
      <c r="C884" s="107"/>
    </row>
    <row r="885" spans="2:3" ht="13.2" x14ac:dyDescent="0.25">
      <c r="B885" s="106"/>
      <c r="C885" s="107"/>
    </row>
    <row r="886" spans="2:3" ht="13.2" x14ac:dyDescent="0.25">
      <c r="B886" s="106"/>
      <c r="C886" s="107"/>
    </row>
    <row r="887" spans="2:3" ht="13.2" x14ac:dyDescent="0.25">
      <c r="B887" s="106"/>
      <c r="C887" s="107"/>
    </row>
    <row r="888" spans="2:3" ht="13.2" x14ac:dyDescent="0.25">
      <c r="B888" s="106"/>
      <c r="C888" s="107"/>
    </row>
    <row r="889" spans="2:3" ht="13.2" x14ac:dyDescent="0.25">
      <c r="B889" s="106"/>
      <c r="C889" s="107"/>
    </row>
    <row r="890" spans="2:3" ht="13.2" x14ac:dyDescent="0.25">
      <c r="B890" s="106"/>
      <c r="C890" s="107"/>
    </row>
    <row r="891" spans="2:3" ht="13.2" x14ac:dyDescent="0.25">
      <c r="B891" s="106"/>
      <c r="C891" s="107"/>
    </row>
    <row r="892" spans="2:3" ht="13.2" x14ac:dyDescent="0.25">
      <c r="B892" s="106"/>
      <c r="C892" s="107"/>
    </row>
    <row r="893" spans="2:3" ht="13.2" x14ac:dyDescent="0.25">
      <c r="B893" s="106"/>
      <c r="C893" s="107"/>
    </row>
    <row r="894" spans="2:3" ht="13.2" x14ac:dyDescent="0.25">
      <c r="B894" s="106"/>
      <c r="C894" s="107"/>
    </row>
    <row r="895" spans="2:3" ht="13.2" x14ac:dyDescent="0.25">
      <c r="B895" s="106"/>
      <c r="C895" s="107"/>
    </row>
    <row r="896" spans="2:3" ht="13.2" x14ac:dyDescent="0.25">
      <c r="B896" s="106"/>
      <c r="C896" s="107"/>
    </row>
    <row r="897" spans="2:3" ht="13.2" x14ac:dyDescent="0.25">
      <c r="B897" s="106"/>
      <c r="C897" s="107"/>
    </row>
    <row r="898" spans="2:3" ht="13.2" x14ac:dyDescent="0.25">
      <c r="B898" s="106"/>
      <c r="C898" s="107"/>
    </row>
    <row r="899" spans="2:3" ht="13.2" x14ac:dyDescent="0.25">
      <c r="B899" s="106"/>
      <c r="C899" s="107"/>
    </row>
    <row r="900" spans="2:3" ht="13.2" x14ac:dyDescent="0.25">
      <c r="B900" s="106"/>
      <c r="C900" s="107"/>
    </row>
    <row r="901" spans="2:3" ht="13.2" x14ac:dyDescent="0.25">
      <c r="B901" s="106"/>
      <c r="C901" s="107"/>
    </row>
    <row r="902" spans="2:3" ht="13.2" x14ac:dyDescent="0.25">
      <c r="B902" s="106"/>
      <c r="C902" s="107"/>
    </row>
    <row r="903" spans="2:3" ht="13.2" x14ac:dyDescent="0.25">
      <c r="B903" s="106"/>
      <c r="C903" s="107"/>
    </row>
    <row r="904" spans="2:3" ht="13.2" x14ac:dyDescent="0.25">
      <c r="B904" s="106"/>
      <c r="C904" s="107"/>
    </row>
    <row r="905" spans="2:3" ht="13.2" x14ac:dyDescent="0.25">
      <c r="B905" s="106"/>
      <c r="C905" s="107"/>
    </row>
    <row r="906" spans="2:3" ht="13.2" x14ac:dyDescent="0.25">
      <c r="B906" s="106"/>
      <c r="C906" s="107"/>
    </row>
    <row r="907" spans="2:3" ht="13.2" x14ac:dyDescent="0.25">
      <c r="B907" s="106"/>
      <c r="C907" s="107"/>
    </row>
    <row r="908" spans="2:3" ht="13.2" x14ac:dyDescent="0.25">
      <c r="B908" s="106"/>
      <c r="C908" s="107"/>
    </row>
    <row r="909" spans="2:3" ht="13.2" x14ac:dyDescent="0.25">
      <c r="B909" s="106"/>
      <c r="C909" s="107"/>
    </row>
    <row r="910" spans="2:3" ht="13.2" x14ac:dyDescent="0.25">
      <c r="B910" s="106"/>
      <c r="C910" s="107"/>
    </row>
    <row r="911" spans="2:3" ht="13.2" x14ac:dyDescent="0.25">
      <c r="B911" s="106"/>
      <c r="C911" s="107"/>
    </row>
    <row r="912" spans="2:3" ht="13.2" x14ac:dyDescent="0.25">
      <c r="B912" s="106"/>
      <c r="C912" s="107"/>
    </row>
    <row r="913" spans="2:3" ht="13.2" x14ac:dyDescent="0.25">
      <c r="B913" s="106"/>
      <c r="C913" s="107"/>
    </row>
    <row r="914" spans="2:3" ht="13.2" x14ac:dyDescent="0.25">
      <c r="B914" s="106"/>
      <c r="C914" s="107"/>
    </row>
    <row r="915" spans="2:3" ht="13.2" x14ac:dyDescent="0.25">
      <c r="B915" s="106"/>
      <c r="C915" s="107"/>
    </row>
    <row r="916" spans="2:3" ht="13.2" x14ac:dyDescent="0.25">
      <c r="B916" s="106"/>
      <c r="C916" s="107"/>
    </row>
    <row r="917" spans="2:3" ht="13.2" x14ac:dyDescent="0.25">
      <c r="B917" s="106"/>
      <c r="C917" s="107"/>
    </row>
    <row r="918" spans="2:3" ht="13.2" x14ac:dyDescent="0.25">
      <c r="B918" s="106"/>
      <c r="C918" s="107"/>
    </row>
    <row r="919" spans="2:3" ht="13.2" x14ac:dyDescent="0.25">
      <c r="B919" s="106"/>
      <c r="C919" s="107"/>
    </row>
    <row r="920" spans="2:3" ht="13.2" x14ac:dyDescent="0.25">
      <c r="B920" s="106"/>
      <c r="C920" s="107"/>
    </row>
    <row r="921" spans="2:3" ht="13.2" x14ac:dyDescent="0.25">
      <c r="B921" s="106"/>
      <c r="C921" s="107"/>
    </row>
    <row r="922" spans="2:3" ht="13.2" x14ac:dyDescent="0.25">
      <c r="B922" s="106"/>
      <c r="C922" s="107"/>
    </row>
    <row r="923" spans="2:3" ht="13.2" x14ac:dyDescent="0.25">
      <c r="B923" s="106"/>
      <c r="C923" s="107"/>
    </row>
    <row r="924" spans="2:3" ht="13.2" x14ac:dyDescent="0.25">
      <c r="B924" s="106"/>
      <c r="C924" s="107"/>
    </row>
    <row r="925" spans="2:3" ht="13.2" x14ac:dyDescent="0.25">
      <c r="B925" s="106"/>
      <c r="C925" s="107"/>
    </row>
    <row r="926" spans="2:3" ht="13.2" x14ac:dyDescent="0.25">
      <c r="B926" s="106"/>
      <c r="C926" s="107"/>
    </row>
    <row r="927" spans="2:3" ht="13.2" x14ac:dyDescent="0.25">
      <c r="B927" s="106"/>
      <c r="C927" s="107"/>
    </row>
    <row r="928" spans="2:3" ht="13.2" x14ac:dyDescent="0.25">
      <c r="B928" s="106"/>
      <c r="C928" s="107"/>
    </row>
    <row r="929" spans="2:3" ht="13.2" x14ac:dyDescent="0.25">
      <c r="B929" s="106"/>
      <c r="C929" s="107"/>
    </row>
    <row r="930" spans="2:3" ht="13.2" x14ac:dyDescent="0.25">
      <c r="B930" s="106"/>
      <c r="C930" s="107"/>
    </row>
    <row r="931" spans="2:3" ht="13.2" x14ac:dyDescent="0.25">
      <c r="B931" s="106"/>
      <c r="C931" s="107"/>
    </row>
    <row r="932" spans="2:3" ht="13.2" x14ac:dyDescent="0.25">
      <c r="B932" s="106"/>
      <c r="C932" s="107"/>
    </row>
    <row r="933" spans="2:3" ht="13.2" x14ac:dyDescent="0.25">
      <c r="B933" s="106"/>
      <c r="C933" s="107"/>
    </row>
    <row r="934" spans="2:3" ht="13.2" x14ac:dyDescent="0.25">
      <c r="B934" s="106"/>
      <c r="C934" s="107"/>
    </row>
    <row r="935" spans="2:3" ht="13.2" x14ac:dyDescent="0.25">
      <c r="B935" s="106"/>
      <c r="C935" s="107"/>
    </row>
    <row r="936" spans="2:3" ht="13.2" x14ac:dyDescent="0.25">
      <c r="B936" s="106"/>
      <c r="C936" s="107"/>
    </row>
    <row r="937" spans="2:3" ht="13.2" x14ac:dyDescent="0.25">
      <c r="B937" s="106"/>
      <c r="C937" s="107"/>
    </row>
    <row r="938" spans="2:3" ht="13.2" x14ac:dyDescent="0.25">
      <c r="B938" s="106"/>
      <c r="C938" s="107"/>
    </row>
    <row r="939" spans="2:3" ht="13.2" x14ac:dyDescent="0.25">
      <c r="B939" s="106"/>
      <c r="C939" s="107"/>
    </row>
    <row r="940" spans="2:3" ht="13.2" x14ac:dyDescent="0.25">
      <c r="B940" s="106"/>
      <c r="C940" s="107"/>
    </row>
    <row r="941" spans="2:3" ht="13.2" x14ac:dyDescent="0.25">
      <c r="B941" s="106"/>
      <c r="C941" s="107"/>
    </row>
    <row r="942" spans="2:3" ht="13.2" x14ac:dyDescent="0.25">
      <c r="B942" s="106"/>
      <c r="C942" s="107"/>
    </row>
    <row r="943" spans="2:3" ht="13.2" x14ac:dyDescent="0.25">
      <c r="B943" s="106"/>
      <c r="C943" s="107"/>
    </row>
    <row r="944" spans="2:3" ht="13.2" x14ac:dyDescent="0.25">
      <c r="B944" s="106"/>
      <c r="C944" s="107"/>
    </row>
    <row r="945" spans="2:3" ht="13.2" x14ac:dyDescent="0.25">
      <c r="B945" s="106"/>
      <c r="C945" s="107"/>
    </row>
    <row r="946" spans="2:3" ht="13.2" x14ac:dyDescent="0.25">
      <c r="B946" s="106"/>
      <c r="C946" s="107"/>
    </row>
    <row r="947" spans="2:3" ht="13.2" x14ac:dyDescent="0.25">
      <c r="B947" s="106"/>
      <c r="C947" s="107"/>
    </row>
    <row r="948" spans="2:3" ht="13.2" x14ac:dyDescent="0.25">
      <c r="B948" s="106"/>
      <c r="C948" s="107"/>
    </row>
    <row r="949" spans="2:3" ht="13.2" x14ac:dyDescent="0.25">
      <c r="B949" s="106"/>
      <c r="C949" s="107"/>
    </row>
    <row r="950" spans="2:3" ht="13.2" x14ac:dyDescent="0.25">
      <c r="B950" s="106"/>
      <c r="C950" s="107"/>
    </row>
    <row r="951" spans="2:3" ht="13.2" x14ac:dyDescent="0.25">
      <c r="B951" s="106"/>
      <c r="C951" s="107"/>
    </row>
    <row r="952" spans="2:3" ht="13.2" x14ac:dyDescent="0.25">
      <c r="B952" s="106"/>
      <c r="C952" s="107"/>
    </row>
    <row r="953" spans="2:3" ht="13.2" x14ac:dyDescent="0.25">
      <c r="B953" s="106"/>
      <c r="C953" s="107"/>
    </row>
    <row r="954" spans="2:3" ht="13.2" x14ac:dyDescent="0.25">
      <c r="B954" s="106"/>
      <c r="C954" s="107"/>
    </row>
    <row r="955" spans="2:3" ht="13.2" x14ac:dyDescent="0.25">
      <c r="B955" s="106"/>
      <c r="C955" s="107"/>
    </row>
    <row r="956" spans="2:3" ht="13.2" x14ac:dyDescent="0.25">
      <c r="B956" s="106"/>
      <c r="C956" s="107"/>
    </row>
    <row r="957" spans="2:3" ht="13.2" x14ac:dyDescent="0.25">
      <c r="B957" s="106"/>
      <c r="C957" s="107"/>
    </row>
    <row r="958" spans="2:3" ht="13.2" x14ac:dyDescent="0.25">
      <c r="B958" s="106"/>
      <c r="C958" s="107"/>
    </row>
    <row r="959" spans="2:3" ht="13.2" x14ac:dyDescent="0.25">
      <c r="B959" s="106"/>
      <c r="C959" s="107"/>
    </row>
    <row r="960" spans="2:3" ht="13.2" x14ac:dyDescent="0.25">
      <c r="B960" s="106"/>
      <c r="C960" s="107"/>
    </row>
    <row r="961" spans="2:3" ht="13.2" x14ac:dyDescent="0.25">
      <c r="B961" s="106"/>
      <c r="C961" s="107"/>
    </row>
    <row r="962" spans="2:3" ht="13.2" x14ac:dyDescent="0.25">
      <c r="B962" s="106"/>
      <c r="C962" s="107"/>
    </row>
    <row r="963" spans="2:3" ht="13.2" x14ac:dyDescent="0.25">
      <c r="B963" s="106"/>
      <c r="C963" s="107"/>
    </row>
    <row r="964" spans="2:3" ht="13.2" x14ac:dyDescent="0.25">
      <c r="B964" s="106"/>
      <c r="C964" s="107"/>
    </row>
    <row r="965" spans="2:3" ht="13.2" x14ac:dyDescent="0.25">
      <c r="B965" s="106"/>
      <c r="C965" s="107"/>
    </row>
    <row r="966" spans="2:3" ht="13.2" x14ac:dyDescent="0.25">
      <c r="B966" s="106"/>
      <c r="C966" s="107"/>
    </row>
    <row r="967" spans="2:3" ht="13.2" x14ac:dyDescent="0.25">
      <c r="B967" s="106"/>
      <c r="C967" s="107"/>
    </row>
    <row r="968" spans="2:3" ht="13.2" x14ac:dyDescent="0.25">
      <c r="B968" s="106"/>
      <c r="C968" s="107"/>
    </row>
    <row r="969" spans="2:3" ht="13.2" x14ac:dyDescent="0.25">
      <c r="B969" s="106"/>
      <c r="C969" s="107"/>
    </row>
    <row r="970" spans="2:3" ht="13.2" x14ac:dyDescent="0.25">
      <c r="B970" s="106"/>
      <c r="C970" s="107"/>
    </row>
    <row r="971" spans="2:3" ht="13.2" x14ac:dyDescent="0.25">
      <c r="B971" s="106"/>
      <c r="C971" s="107"/>
    </row>
    <row r="972" spans="2:3" ht="13.2" x14ac:dyDescent="0.25">
      <c r="B972" s="106"/>
      <c r="C972" s="107"/>
    </row>
    <row r="973" spans="2:3" ht="13.2" x14ac:dyDescent="0.25">
      <c r="B973" s="106"/>
      <c r="C973" s="107"/>
    </row>
    <row r="974" spans="2:3" ht="13.2" x14ac:dyDescent="0.25">
      <c r="B974" s="106"/>
      <c r="C974" s="107"/>
    </row>
    <row r="975" spans="2:3" ht="13.2" x14ac:dyDescent="0.25">
      <c r="B975" s="106"/>
      <c r="C975" s="107"/>
    </row>
    <row r="976" spans="2:3" ht="13.2" x14ac:dyDescent="0.25">
      <c r="B976" s="106"/>
      <c r="C976" s="107"/>
    </row>
    <row r="977" spans="2:3" ht="13.2" x14ac:dyDescent="0.25">
      <c r="B977" s="106"/>
      <c r="C977" s="107"/>
    </row>
    <row r="978" spans="2:3" ht="13.2" x14ac:dyDescent="0.25">
      <c r="B978" s="106"/>
      <c r="C978" s="107"/>
    </row>
    <row r="979" spans="2:3" ht="13.2" x14ac:dyDescent="0.25">
      <c r="B979" s="106"/>
      <c r="C979" s="107"/>
    </row>
    <row r="980" spans="2:3" ht="13.2" x14ac:dyDescent="0.25">
      <c r="B980" s="106"/>
      <c r="C980" s="107"/>
    </row>
    <row r="981" spans="2:3" ht="13.2" x14ac:dyDescent="0.25">
      <c r="B981" s="106"/>
      <c r="C981" s="107"/>
    </row>
    <row r="982" spans="2:3" ht="13.2" x14ac:dyDescent="0.25">
      <c r="B982" s="106"/>
      <c r="C982" s="107"/>
    </row>
    <row r="983" spans="2:3" ht="13.2" x14ac:dyDescent="0.25">
      <c r="B983" s="106"/>
      <c r="C983" s="107"/>
    </row>
    <row r="984" spans="2:3" ht="13.2" x14ac:dyDescent="0.25">
      <c r="B984" s="106"/>
      <c r="C984" s="107"/>
    </row>
    <row r="985" spans="2:3" ht="13.2" x14ac:dyDescent="0.25">
      <c r="B985" s="106"/>
      <c r="C985" s="107"/>
    </row>
    <row r="986" spans="2:3" ht="13.2" x14ac:dyDescent="0.25">
      <c r="B986" s="106"/>
      <c r="C986" s="107"/>
    </row>
    <row r="987" spans="2:3" ht="13.2" x14ac:dyDescent="0.25">
      <c r="B987" s="106"/>
      <c r="C987" s="107"/>
    </row>
    <row r="988" spans="2:3" ht="13.2" x14ac:dyDescent="0.25">
      <c r="B988" s="106"/>
      <c r="C988" s="107"/>
    </row>
    <row r="989" spans="2:3" ht="13.2" x14ac:dyDescent="0.25">
      <c r="B989" s="106"/>
      <c r="C989" s="107"/>
    </row>
    <row r="990" spans="2:3" ht="13.2" x14ac:dyDescent="0.25">
      <c r="B990" s="106"/>
      <c r="C990" s="107"/>
    </row>
    <row r="991" spans="2:3" ht="13.2" x14ac:dyDescent="0.25">
      <c r="B991" s="106"/>
      <c r="C991" s="107"/>
    </row>
    <row r="992" spans="2:3" ht="13.2" x14ac:dyDescent="0.25">
      <c r="B992" s="106"/>
      <c r="C992" s="107"/>
    </row>
    <row r="993" spans="2:3" ht="13.2" x14ac:dyDescent="0.25">
      <c r="B993" s="106"/>
      <c r="C993" s="107"/>
    </row>
    <row r="994" spans="2:3" ht="13.2" x14ac:dyDescent="0.25">
      <c r="B994" s="106"/>
      <c r="C994" s="107"/>
    </row>
    <row r="995" spans="2:3" ht="13.2" x14ac:dyDescent="0.25">
      <c r="B995" s="106"/>
      <c r="C995" s="107"/>
    </row>
    <row r="996" spans="2:3" ht="13.2" x14ac:dyDescent="0.25">
      <c r="B996" s="106"/>
      <c r="C996" s="107"/>
    </row>
    <row r="997" spans="2:3" ht="13.2" x14ac:dyDescent="0.25">
      <c r="B997" s="106"/>
      <c r="C997" s="107"/>
    </row>
    <row r="998" spans="2:3" ht="13.2" x14ac:dyDescent="0.25">
      <c r="B998" s="106"/>
      <c r="C998" s="107"/>
    </row>
    <row r="999" spans="2:3" ht="13.2" x14ac:dyDescent="0.25">
      <c r="B999" s="106"/>
      <c r="C999" s="107"/>
    </row>
    <row r="1000" spans="2:3" ht="13.2" x14ac:dyDescent="0.25">
      <c r="B1000" s="106"/>
      <c r="C1000" s="107"/>
    </row>
    <row r="1001" spans="2:3" ht="13.2" x14ac:dyDescent="0.25">
      <c r="B1001" s="106"/>
      <c r="C1001" s="107"/>
    </row>
    <row r="1002" spans="2:3" ht="13.2" x14ac:dyDescent="0.25">
      <c r="B1002" s="106"/>
      <c r="C1002" s="107"/>
    </row>
  </sheetData>
  <mergeCells count="54">
    <mergeCell ref="P69:Q69"/>
    <mergeCell ref="D27:E27"/>
    <mergeCell ref="D28:E28"/>
    <mergeCell ref="D29:E29"/>
    <mergeCell ref="D30:E30"/>
    <mergeCell ref="D31:E31"/>
    <mergeCell ref="D47:E47"/>
    <mergeCell ref="D48:E48"/>
    <mergeCell ref="D49:E49"/>
    <mergeCell ref="D50:E50"/>
    <mergeCell ref="D51:E51"/>
    <mergeCell ref="D52:E52"/>
    <mergeCell ref="D53:E53"/>
    <mergeCell ref="D69:F69"/>
    <mergeCell ref="AD1:AE1"/>
    <mergeCell ref="AD2:AE2"/>
    <mergeCell ref="AD3:AE3"/>
    <mergeCell ref="X1:Y1"/>
    <mergeCell ref="X2:Y2"/>
    <mergeCell ref="X3:Y3"/>
    <mergeCell ref="AB1:AC1"/>
    <mergeCell ref="AB2:AC2"/>
    <mergeCell ref="AB3:AC3"/>
    <mergeCell ref="Z1:AA1"/>
    <mergeCell ref="Z2:AA2"/>
    <mergeCell ref="Z3:AA3"/>
    <mergeCell ref="R3:S3"/>
    <mergeCell ref="T1:U1"/>
    <mergeCell ref="T2:U2"/>
    <mergeCell ref="T3:U3"/>
    <mergeCell ref="V1:W1"/>
    <mergeCell ref="V2:W2"/>
    <mergeCell ref="V3:W3"/>
    <mergeCell ref="R1:S1"/>
    <mergeCell ref="R2:S2"/>
    <mergeCell ref="L1:M1"/>
    <mergeCell ref="L2:M2"/>
    <mergeCell ref="L3:M3"/>
    <mergeCell ref="D2:F2"/>
    <mergeCell ref="A2:C3"/>
    <mergeCell ref="A1:F1"/>
    <mergeCell ref="D3:E3"/>
    <mergeCell ref="J1:K1"/>
    <mergeCell ref="J2:K2"/>
    <mergeCell ref="J3:K3"/>
    <mergeCell ref="G1:I1"/>
    <mergeCell ref="G2:I2"/>
    <mergeCell ref="G3:I3"/>
    <mergeCell ref="N1:O1"/>
    <mergeCell ref="N2:O2"/>
    <mergeCell ref="N3:O3"/>
    <mergeCell ref="P1:Q1"/>
    <mergeCell ref="P2:Q2"/>
    <mergeCell ref="P3:Q3"/>
  </mergeCells>
  <phoneticPr fontId="2" type="noConversion"/>
  <pageMargins left="0.511811024" right="0.511811024" top="0.78740157499999996" bottom="0.78740157499999996" header="0.31496062000000002" footer="0.31496062000000002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3; MEMORIAL DE CALCULO</vt:lpstr>
      <vt:lpstr>5. ORÇAMENTO SINAPE</vt:lpstr>
      <vt:lpstr>6. FisicoFinanceiro R01</vt:lpstr>
      <vt:lpstr>OBSOLETO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Mirlene</dc:creator>
  <cp:lastModifiedBy>Mirlene</cp:lastModifiedBy>
  <cp:lastPrinted>2022-10-04T15:15:16Z</cp:lastPrinted>
  <dcterms:created xsi:type="dcterms:W3CDTF">2022-02-01T09:53:37Z</dcterms:created>
  <dcterms:modified xsi:type="dcterms:W3CDTF">2022-10-04T15:21:36Z</dcterms:modified>
</cp:coreProperties>
</file>